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odwill_server\재경\0.재무회계\공시용_예결산\예산서\"/>
    </mc:Choice>
  </mc:AlternateContent>
  <xr:revisionPtr revIDLastSave="0" documentId="13_ncr:1_{00034880-A615-444F-9DF7-F532C985248E}" xr6:coauthVersionLast="47" xr6:coauthVersionMax="47" xr10:uidLastSave="{00000000-0000-0000-0000-000000000000}"/>
  <bookViews>
    <workbookView xWindow="-120" yWindow="-120" windowWidth="29040" windowHeight="15840" tabRatio="903" xr2:uid="{00000000-000D-0000-FFFF-FFFF00000000}"/>
  </bookViews>
  <sheets>
    <sheet name="표지" sheetId="51" r:id="rId1"/>
    <sheet name="예산총칙" sheetId="52" r:id="rId2"/>
    <sheet name="총괄표" sheetId="43" r:id="rId3"/>
    <sheet name="세입내역" sheetId="49" r:id="rId4"/>
    <sheet name="세출내역" sheetId="50" r:id="rId5"/>
    <sheet name="Sheet1" sheetId="53" r:id="rId6"/>
  </sheets>
  <definedNames>
    <definedName name="_xlnm._FilterDatabase" localSheetId="4" hidden="1">세출내역!$H$5:$O$463</definedName>
    <definedName name="_xlnm.Print_Area" localSheetId="3">세입내역!$A$1:$O$77</definedName>
    <definedName name="_xlnm.Print_Area" localSheetId="4">세출내역!$A$1:$O$462</definedName>
    <definedName name="_xlnm.Print_Area" localSheetId="2">총괄표!$A$1:$N$53</definedName>
    <definedName name="_xlnm.Print_Titles" localSheetId="3">세입내역!$1:$5</definedName>
    <definedName name="_xlnm.Print_Titles" localSheetId="4">세출내역!$1:$5</definedName>
    <definedName name="_xlnm.Print_Titles" localSheetId="2">총괄표!$1:$6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8" i="50" l="1"/>
  <c r="F457" i="50"/>
  <c r="F54" i="49" l="1"/>
  <c r="O50" i="49" l="1"/>
  <c r="O49" i="49"/>
  <c r="F52" i="49"/>
  <c r="F198" i="50" l="1"/>
  <c r="O257" i="50"/>
  <c r="O453" i="50" l="1"/>
  <c r="O454" i="50"/>
  <c r="O452" i="50" l="1"/>
  <c r="O70" i="49"/>
  <c r="O69" i="49"/>
  <c r="F26" i="43" l="1"/>
  <c r="O258" i="50" l="1"/>
  <c r="O256" i="50"/>
  <c r="O255" i="50"/>
  <c r="O254" i="50"/>
  <c r="O253" i="50"/>
  <c r="O252" i="50"/>
  <c r="O239" i="50"/>
  <c r="O238" i="50"/>
  <c r="O236" i="50"/>
  <c r="O235" i="50"/>
  <c r="O234" i="50"/>
  <c r="O251" i="50" l="1"/>
  <c r="F251" i="50" s="1"/>
  <c r="O233" i="50"/>
  <c r="F233" i="50" s="1"/>
  <c r="O237" i="50"/>
  <c r="O192" i="50"/>
  <c r="O191" i="50"/>
  <c r="O190" i="50"/>
  <c r="O189" i="50"/>
  <c r="O188" i="50"/>
  <c r="O187" i="50"/>
  <c r="O186" i="50"/>
  <c r="O185" i="50"/>
  <c r="O184" i="50"/>
  <c r="O183" i="50"/>
  <c r="O182" i="50"/>
  <c r="O181" i="50"/>
  <c r="O180" i="50"/>
  <c r="O179" i="50"/>
  <c r="O178" i="50"/>
  <c r="O177" i="50"/>
  <c r="O176" i="50"/>
  <c r="O175" i="50"/>
  <c r="O174" i="50"/>
  <c r="O173" i="50"/>
  <c r="O172" i="50"/>
  <c r="O171" i="50"/>
  <c r="O169" i="50"/>
  <c r="O168" i="50" s="1"/>
  <c r="O167" i="50"/>
  <c r="O166" i="50"/>
  <c r="O165" i="50"/>
  <c r="O163" i="50"/>
  <c r="O162" i="50"/>
  <c r="O161" i="50"/>
  <c r="O158" i="50"/>
  <c r="O157" i="50"/>
  <c r="O156" i="50"/>
  <c r="O155" i="50"/>
  <c r="O154" i="50"/>
  <c r="O153" i="50"/>
  <c r="O152" i="50"/>
  <c r="O151" i="50"/>
  <c r="O150" i="50"/>
  <c r="O149" i="50"/>
  <c r="O148" i="50"/>
  <c r="O147" i="50"/>
  <c r="O146" i="50"/>
  <c r="O145" i="50"/>
  <c r="O144" i="50"/>
  <c r="O143" i="50"/>
  <c r="O142" i="50"/>
  <c r="O141" i="50"/>
  <c r="O140" i="50"/>
  <c r="O139" i="50"/>
  <c r="O138" i="50"/>
  <c r="O137" i="50"/>
  <c r="O136" i="50"/>
  <c r="O135" i="50"/>
  <c r="O134" i="50"/>
  <c r="O133" i="50"/>
  <c r="O132" i="50"/>
  <c r="O131" i="50"/>
  <c r="O130" i="50"/>
  <c r="O129" i="50"/>
  <c r="O126" i="50"/>
  <c r="O125" i="50"/>
  <c r="O124" i="50"/>
  <c r="O123" i="50"/>
  <c r="O122" i="50"/>
  <c r="O121" i="50"/>
  <c r="O120" i="50"/>
  <c r="O119" i="50"/>
  <c r="O118" i="50"/>
  <c r="O117" i="50"/>
  <c r="O116" i="50"/>
  <c r="O115" i="50"/>
  <c r="O114" i="50"/>
  <c r="O113" i="50"/>
  <c r="O112" i="50"/>
  <c r="O111" i="50"/>
  <c r="O110" i="50"/>
  <c r="O109" i="50"/>
  <c r="O108" i="50"/>
  <c r="O107" i="50"/>
  <c r="O106" i="50"/>
  <c r="O105" i="50"/>
  <c r="O104" i="50"/>
  <c r="O103" i="50"/>
  <c r="O102" i="50"/>
  <c r="O100" i="50"/>
  <c r="O99" i="50"/>
  <c r="O98" i="50"/>
  <c r="O97" i="50"/>
  <c r="O96" i="50"/>
  <c r="O95" i="50"/>
  <c r="O94" i="50"/>
  <c r="O93" i="50"/>
  <c r="O92" i="50"/>
  <c r="O91" i="50"/>
  <c r="O90" i="50"/>
  <c r="O89" i="50"/>
  <c r="O88" i="50"/>
  <c r="O87" i="50"/>
  <c r="O86" i="50"/>
  <c r="O85" i="50"/>
  <c r="O84" i="50"/>
  <c r="O83" i="50"/>
  <c r="O82" i="50"/>
  <c r="O81" i="50"/>
  <c r="O80" i="50"/>
  <c r="O79" i="50"/>
  <c r="O78" i="50"/>
  <c r="O77" i="50"/>
  <c r="O76" i="50"/>
  <c r="O71" i="50"/>
  <c r="O59" i="50" s="1"/>
  <c r="O70" i="50"/>
  <c r="O69" i="50"/>
  <c r="O68" i="50"/>
  <c r="O67" i="50"/>
  <c r="O66" i="50"/>
  <c r="O65" i="50"/>
  <c r="O64" i="50"/>
  <c r="O63" i="50"/>
  <c r="O62" i="50"/>
  <c r="O61" i="50"/>
  <c r="O53" i="50"/>
  <c r="O52" i="50"/>
  <c r="O51" i="50"/>
  <c r="O50" i="50"/>
  <c r="O49" i="50"/>
  <c r="O48" i="50"/>
  <c r="O46" i="50"/>
  <c r="O45" i="50"/>
  <c r="O44" i="50"/>
  <c r="O160" i="50" l="1"/>
  <c r="O74" i="50"/>
  <c r="O57" i="50" s="1"/>
  <c r="O72" i="50"/>
  <c r="O73" i="50"/>
  <c r="O101" i="50"/>
  <c r="O170" i="50"/>
  <c r="O164" i="50"/>
  <c r="O43" i="50"/>
  <c r="O60" i="50"/>
  <c r="O128" i="50"/>
  <c r="O56" i="50" s="1"/>
  <c r="O58" i="50"/>
  <c r="O75" i="50"/>
  <c r="O127" i="50"/>
  <c r="O47" i="50"/>
  <c r="O159" i="50" l="1"/>
  <c r="O55" i="50"/>
  <c r="O54" i="50" s="1"/>
  <c r="O42" i="50"/>
  <c r="F42" i="50" s="1"/>
  <c r="O249" i="50" l="1"/>
  <c r="O248" i="50"/>
  <c r="I277" i="50"/>
  <c r="O277" i="50" s="1"/>
  <c r="O276" i="50"/>
  <c r="F270" i="50" l="1"/>
  <c r="O30" i="49" l="1"/>
  <c r="O36" i="49"/>
  <c r="O76" i="49" l="1"/>
  <c r="O75" i="49"/>
  <c r="U29" i="49" l="1"/>
  <c r="U28" i="49" s="1"/>
  <c r="V28" i="49" s="1"/>
  <c r="V27" i="49"/>
  <c r="V15" i="49"/>
  <c r="U24" i="49"/>
  <c r="U16" i="49" s="1"/>
  <c r="U25" i="49" s="1"/>
  <c r="V25" i="49" s="1"/>
  <c r="U4" i="49"/>
  <c r="V12" i="49"/>
  <c r="T9" i="49"/>
  <c r="S9" i="49"/>
  <c r="R9" i="49"/>
  <c r="U7" i="49"/>
  <c r="V7" i="49" s="1"/>
  <c r="V13" i="49" l="1"/>
  <c r="V29" i="49"/>
  <c r="V16" i="49"/>
  <c r="U9" i="49"/>
  <c r="V9" i="49" s="1"/>
  <c r="W9" i="49" s="1"/>
  <c r="U13" i="49" l="1"/>
  <c r="O59" i="49"/>
  <c r="O206" i="50" l="1"/>
  <c r="M50" i="43" l="1"/>
  <c r="M49" i="43"/>
  <c r="I299" i="50"/>
  <c r="O393" i="50"/>
  <c r="O337" i="50" l="1"/>
  <c r="O60" i="49" l="1"/>
  <c r="O61" i="49"/>
  <c r="O459" i="50" l="1"/>
  <c r="G459" i="50"/>
  <c r="O458" i="50"/>
  <c r="G458" i="50"/>
  <c r="I433" i="50" l="1"/>
  <c r="O439" i="50"/>
  <c r="G126" i="50"/>
  <c r="G125" i="50"/>
  <c r="G124" i="50"/>
  <c r="G123" i="50"/>
  <c r="G122" i="50"/>
  <c r="G121" i="50"/>
  <c r="G120" i="50"/>
  <c r="G117" i="50"/>
  <c r="G116" i="50"/>
  <c r="G114" i="50"/>
  <c r="G113" i="50"/>
  <c r="G112" i="50"/>
  <c r="G110" i="50"/>
  <c r="G109" i="50"/>
  <c r="G108" i="50"/>
  <c r="G107" i="50"/>
  <c r="G106" i="50"/>
  <c r="G105" i="50"/>
  <c r="G104" i="50"/>
  <c r="G103" i="50"/>
  <c r="G102" i="50"/>
  <c r="O29" i="50"/>
  <c r="O304" i="50" l="1"/>
  <c r="O266" i="50" l="1"/>
  <c r="F266" i="50" s="1"/>
  <c r="G266" i="50" s="1"/>
  <c r="O265" i="50"/>
  <c r="O336" i="50"/>
  <c r="O282" i="50"/>
  <c r="O278" i="50"/>
  <c r="O247" i="50"/>
  <c r="O74" i="49" l="1"/>
  <c r="O51" i="49"/>
  <c r="O47" i="49" s="1"/>
  <c r="F47" i="49" s="1"/>
  <c r="O328" i="50" l="1"/>
  <c r="O222" i="50"/>
  <c r="O221" i="50" s="1"/>
  <c r="F221" i="50" s="1"/>
  <c r="M17" i="43" s="1"/>
  <c r="N49" i="43" l="1"/>
  <c r="H28" i="53" l="1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 s="1"/>
  <c r="O440" i="50" l="1"/>
  <c r="O33" i="49" l="1"/>
  <c r="O32" i="49" s="1"/>
  <c r="G33" i="49"/>
  <c r="G32" i="49"/>
  <c r="G42" i="49" l="1"/>
  <c r="O380" i="50" l="1"/>
  <c r="O317" i="50"/>
  <c r="O339" i="50"/>
  <c r="O309" i="50" l="1"/>
  <c r="O11" i="49" l="1"/>
  <c r="O392" i="50" l="1"/>
  <c r="O219" i="50"/>
  <c r="O412" i="50"/>
  <c r="O390" i="50" l="1"/>
  <c r="O391" i="50"/>
  <c r="O389" i="50" l="1"/>
  <c r="O305" i="50"/>
  <c r="O357" i="50"/>
  <c r="O366" i="50"/>
  <c r="O356" i="50"/>
  <c r="R359" i="50"/>
  <c r="O294" i="50"/>
  <c r="O365" i="50"/>
  <c r="O364" i="50"/>
  <c r="Q319" i="50"/>
  <c r="Q320" i="50" s="1"/>
  <c r="O283" i="50"/>
  <c r="O335" i="50" l="1"/>
  <c r="O293" i="50"/>
  <c r="O274" i="50" l="1"/>
  <c r="F274" i="50" s="1"/>
  <c r="O281" i="50" l="1"/>
  <c r="O290" i="50" l="1"/>
  <c r="O291" i="50"/>
  <c r="O241" i="50"/>
  <c r="O426" i="50"/>
  <c r="O422" i="50"/>
  <c r="O73" i="49"/>
  <c r="O211" i="50" l="1"/>
  <c r="O210" i="50"/>
  <c r="O209" i="50"/>
  <c r="O284" i="50" l="1"/>
  <c r="O38" i="50" l="1"/>
  <c r="O77" i="49" l="1"/>
  <c r="O224" i="50" l="1"/>
  <c r="O223" i="50" s="1"/>
  <c r="G226" i="50"/>
  <c r="O227" i="50" l="1"/>
  <c r="O226" i="50"/>
  <c r="O225" i="50" l="1"/>
  <c r="O438" i="50"/>
  <c r="O437" i="50"/>
  <c r="O220" i="50" l="1"/>
  <c r="F225" i="50"/>
  <c r="G98" i="50"/>
  <c r="G97" i="50"/>
  <c r="O41" i="50"/>
  <c r="G41" i="50"/>
  <c r="O40" i="50"/>
  <c r="G40" i="50"/>
  <c r="G39" i="50"/>
  <c r="M18" i="43" l="1"/>
  <c r="G225" i="50"/>
  <c r="O39" i="50"/>
  <c r="O12" i="50" s="1"/>
  <c r="O34" i="50" l="1"/>
  <c r="O25" i="50"/>
  <c r="N17" i="43" l="1"/>
  <c r="G32" i="43"/>
  <c r="G3" i="50"/>
  <c r="O246" i="50"/>
  <c r="O245" i="50"/>
  <c r="O244" i="50" l="1"/>
  <c r="F245" i="50" s="1"/>
  <c r="F244" i="50" l="1"/>
  <c r="M24" i="43"/>
  <c r="N24" i="43" s="1"/>
  <c r="O413" i="50"/>
  <c r="G413" i="50"/>
  <c r="O411" i="50"/>
  <c r="G411" i="50"/>
  <c r="O410" i="50"/>
  <c r="G410" i="50"/>
  <c r="O409" i="50"/>
  <c r="G409" i="50"/>
  <c r="O408" i="50"/>
  <c r="O407" i="50"/>
  <c r="O406" i="50"/>
  <c r="O405" i="50"/>
  <c r="O404" i="50"/>
  <c r="G404" i="50"/>
  <c r="O403" i="50"/>
  <c r="G403" i="50"/>
  <c r="G402" i="50"/>
  <c r="O444" i="50"/>
  <c r="O443" i="50"/>
  <c r="O442" i="50"/>
  <c r="O351" i="50"/>
  <c r="G351" i="50"/>
  <c r="G249" i="50"/>
  <c r="G246" i="50"/>
  <c r="G245" i="50"/>
  <c r="Q391" i="50"/>
  <c r="G415" i="50"/>
  <c r="G416" i="50"/>
  <c r="O416" i="50"/>
  <c r="G417" i="50"/>
  <c r="O417" i="50"/>
  <c r="G418" i="50"/>
  <c r="O418" i="50"/>
  <c r="G244" i="50" l="1"/>
  <c r="Q390" i="50"/>
  <c r="Q389" i="50"/>
  <c r="O441" i="50"/>
  <c r="F441" i="50" s="1"/>
  <c r="I394" i="50"/>
  <c r="O402" i="50"/>
  <c r="O401" i="50" s="1"/>
  <c r="O415" i="50"/>
  <c r="O64" i="49"/>
  <c r="M39" i="43" l="1"/>
  <c r="N39" i="43" s="1"/>
  <c r="G441" i="50"/>
  <c r="O12" i="49"/>
  <c r="O359" i="50"/>
  <c r="O340" i="50"/>
  <c r="M53" i="43" l="1"/>
  <c r="N50" i="43"/>
  <c r="M48" i="43"/>
  <c r="N48" i="43" s="1"/>
  <c r="M27" i="43"/>
  <c r="N27" i="43" s="1"/>
  <c r="N18" i="43"/>
  <c r="F15" i="43"/>
  <c r="O423" i="50" l="1"/>
  <c r="O428" i="50"/>
  <c r="O379" i="50"/>
  <c r="O381" i="50"/>
  <c r="O378" i="50"/>
  <c r="O344" i="50"/>
  <c r="O377" i="50"/>
  <c r="O353" i="50"/>
  <c r="O355" i="50"/>
  <c r="O354" i="50"/>
  <c r="O352" i="50"/>
  <c r="O384" i="50"/>
  <c r="O334" i="50"/>
  <c r="O346" i="50"/>
  <c r="O300" i="50"/>
  <c r="O280" i="50"/>
  <c r="O279" i="50" s="1"/>
  <c r="F279" i="50" s="1"/>
  <c r="M28" i="43" s="1"/>
  <c r="N28" i="43" s="1"/>
  <c r="O217" i="50"/>
  <c r="O216" i="50"/>
  <c r="O214" i="50"/>
  <c r="O215" i="50" l="1"/>
  <c r="O208" i="50"/>
  <c r="G462" i="50"/>
  <c r="F461" i="50"/>
  <c r="F460" i="50" s="1"/>
  <c r="F456" i="50"/>
  <c r="F455" i="50" s="1"/>
  <c r="F452" i="50"/>
  <c r="F451" i="50" s="1"/>
  <c r="G454" i="50"/>
  <c r="O449" i="50"/>
  <c r="G449" i="50"/>
  <c r="O448" i="50"/>
  <c r="G448" i="50"/>
  <c r="G447" i="50"/>
  <c r="F446" i="50"/>
  <c r="F445" i="50" s="1"/>
  <c r="M42" i="43" s="1"/>
  <c r="O436" i="50"/>
  <c r="G436" i="50"/>
  <c r="O435" i="50"/>
  <c r="G435" i="50"/>
  <c r="O434" i="50"/>
  <c r="G434" i="50"/>
  <c r="O433" i="50"/>
  <c r="G433" i="50"/>
  <c r="O432" i="50"/>
  <c r="G432" i="50"/>
  <c r="G431" i="50"/>
  <c r="O430" i="50"/>
  <c r="G430" i="50"/>
  <c r="O429" i="50"/>
  <c r="G429" i="50"/>
  <c r="O427" i="50"/>
  <c r="G427" i="50"/>
  <c r="O425" i="50"/>
  <c r="G425" i="50"/>
  <c r="O424" i="50"/>
  <c r="G424" i="50"/>
  <c r="O421" i="50"/>
  <c r="G421" i="50"/>
  <c r="O420" i="50"/>
  <c r="G420" i="50"/>
  <c r="G419" i="50"/>
  <c r="O387" i="50"/>
  <c r="G387" i="50"/>
  <c r="O386" i="50"/>
  <c r="G386" i="50"/>
  <c r="O385" i="50"/>
  <c r="G385" i="50"/>
  <c r="O383" i="50"/>
  <c r="G383" i="50"/>
  <c r="G381" i="50"/>
  <c r="G344" i="50"/>
  <c r="G378" i="50"/>
  <c r="O376" i="50"/>
  <c r="G376" i="50"/>
  <c r="O375" i="50"/>
  <c r="G375" i="50"/>
  <c r="O374" i="50"/>
  <c r="G374" i="50"/>
  <c r="O373" i="50"/>
  <c r="G373" i="50"/>
  <c r="O372" i="50"/>
  <c r="G372" i="50"/>
  <c r="O370" i="50"/>
  <c r="O369" i="50" s="1"/>
  <c r="G370" i="50"/>
  <c r="G369" i="50"/>
  <c r="O368" i="50"/>
  <c r="G368" i="50"/>
  <c r="G367" i="50"/>
  <c r="O363" i="50"/>
  <c r="O362" i="50" s="1"/>
  <c r="G363" i="50"/>
  <c r="G362" i="50"/>
  <c r="O361" i="50"/>
  <c r="O360" i="50" s="1"/>
  <c r="G361" i="50"/>
  <c r="G360" i="50"/>
  <c r="G355" i="50"/>
  <c r="G354" i="50"/>
  <c r="G350" i="50"/>
  <c r="O348" i="50"/>
  <c r="G348" i="50"/>
  <c r="O347" i="50"/>
  <c r="G347" i="50"/>
  <c r="O345" i="50"/>
  <c r="G345" i="50"/>
  <c r="O343" i="50"/>
  <c r="G343" i="50"/>
  <c r="G342" i="50"/>
  <c r="O341" i="50"/>
  <c r="G341" i="50"/>
  <c r="O338" i="50"/>
  <c r="G338" i="50"/>
  <c r="O333" i="50"/>
  <c r="G333" i="50"/>
  <c r="O332" i="50"/>
  <c r="G332" i="50"/>
  <c r="O331" i="50"/>
  <c r="G331" i="50"/>
  <c r="O330" i="50"/>
  <c r="G330" i="50"/>
  <c r="O329" i="50"/>
  <c r="G329" i="50"/>
  <c r="O327" i="50"/>
  <c r="G327" i="50"/>
  <c r="O326" i="50"/>
  <c r="G326" i="50"/>
  <c r="O325" i="50"/>
  <c r="G325" i="50"/>
  <c r="O324" i="50"/>
  <c r="G324" i="50"/>
  <c r="O323" i="50"/>
  <c r="G323" i="50"/>
  <c r="O322" i="50"/>
  <c r="G322" i="50"/>
  <c r="O321" i="50"/>
  <c r="G321" i="50"/>
  <c r="O320" i="50"/>
  <c r="G320" i="50"/>
  <c r="O319" i="50"/>
  <c r="G319" i="50"/>
  <c r="O318" i="50"/>
  <c r="G318" i="50"/>
  <c r="O316" i="50"/>
  <c r="G316" i="50"/>
  <c r="O315" i="50"/>
  <c r="G315" i="50"/>
  <c r="O314" i="50"/>
  <c r="G314" i="50"/>
  <c r="O313" i="50"/>
  <c r="G313" i="50"/>
  <c r="O312" i="50"/>
  <c r="G312" i="50"/>
  <c r="O311" i="50"/>
  <c r="G311" i="50"/>
  <c r="O310" i="50"/>
  <c r="G310" i="50"/>
  <c r="G309" i="50"/>
  <c r="G308" i="50"/>
  <c r="O307" i="50"/>
  <c r="G307" i="50"/>
  <c r="O303" i="50"/>
  <c r="O302" i="50" s="1"/>
  <c r="F302" i="50" s="1"/>
  <c r="M33" i="43" s="1"/>
  <c r="N33" i="43" s="1"/>
  <c r="G303" i="50"/>
  <c r="O301" i="50"/>
  <c r="G301" i="50"/>
  <c r="O299" i="50"/>
  <c r="G299" i="50"/>
  <c r="O295" i="50"/>
  <c r="G295" i="50"/>
  <c r="O292" i="50"/>
  <c r="G292" i="50"/>
  <c r="O289" i="50"/>
  <c r="G289" i="50"/>
  <c r="O288" i="50"/>
  <c r="G288" i="50"/>
  <c r="O287" i="50"/>
  <c r="G287" i="50"/>
  <c r="O286" i="50"/>
  <c r="G286" i="50"/>
  <c r="G284" i="50"/>
  <c r="G279" i="50"/>
  <c r="G274" i="50"/>
  <c r="O271" i="50"/>
  <c r="G271" i="50"/>
  <c r="O270" i="50"/>
  <c r="G270" i="50"/>
  <c r="O269" i="50"/>
  <c r="G269" i="50"/>
  <c r="O268" i="50"/>
  <c r="G268" i="50"/>
  <c r="O264" i="50"/>
  <c r="G264" i="50"/>
  <c r="O263" i="50"/>
  <c r="G263" i="50"/>
  <c r="O262" i="50"/>
  <c r="G262" i="50"/>
  <c r="O261" i="50"/>
  <c r="G261" i="50"/>
  <c r="O260" i="50"/>
  <c r="G260" i="50"/>
  <c r="G258" i="50"/>
  <c r="G256" i="50"/>
  <c r="G255" i="50"/>
  <c r="G254" i="50"/>
  <c r="G253" i="50"/>
  <c r="G252" i="50"/>
  <c r="G251" i="50"/>
  <c r="O243" i="50"/>
  <c r="G243" i="50"/>
  <c r="O242" i="50"/>
  <c r="G242" i="50"/>
  <c r="G241" i="50"/>
  <c r="G236" i="50"/>
  <c r="G235" i="50"/>
  <c r="G234" i="50"/>
  <c r="G233" i="50"/>
  <c r="O231" i="50"/>
  <c r="G231" i="50"/>
  <c r="O230" i="50"/>
  <c r="G230" i="50"/>
  <c r="G223" i="50"/>
  <c r="F220" i="50"/>
  <c r="O218" i="50"/>
  <c r="G218" i="50"/>
  <c r="O213" i="50"/>
  <c r="O212" i="50"/>
  <c r="G212" i="50"/>
  <c r="G208" i="50"/>
  <c r="G207" i="50"/>
  <c r="O205" i="50"/>
  <c r="G205" i="50"/>
  <c r="G204" i="50"/>
  <c r="O195" i="50"/>
  <c r="G195" i="50"/>
  <c r="G194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6" i="50"/>
  <c r="G155" i="50"/>
  <c r="G154" i="50"/>
  <c r="G148" i="50"/>
  <c r="G147" i="50"/>
  <c r="G146" i="50"/>
  <c r="G145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7" i="50"/>
  <c r="G100" i="50"/>
  <c r="G99" i="50"/>
  <c r="G96" i="50"/>
  <c r="G95" i="50"/>
  <c r="G94" i="50"/>
  <c r="G91" i="50"/>
  <c r="G90" i="50"/>
  <c r="G88" i="50"/>
  <c r="G87" i="50"/>
  <c r="G86" i="50"/>
  <c r="G84" i="50"/>
  <c r="G83" i="50"/>
  <c r="G82" i="50"/>
  <c r="G81" i="50"/>
  <c r="G80" i="50"/>
  <c r="G79" i="50"/>
  <c r="G78" i="50"/>
  <c r="G77" i="50"/>
  <c r="G76" i="50"/>
  <c r="G72" i="50"/>
  <c r="G70" i="50"/>
  <c r="G69" i="50"/>
  <c r="G68" i="50"/>
  <c r="G67" i="50"/>
  <c r="G66" i="50"/>
  <c r="G65" i="50"/>
  <c r="G64" i="50"/>
  <c r="G63" i="50"/>
  <c r="G62" i="50"/>
  <c r="G61" i="50"/>
  <c r="G60" i="50"/>
  <c r="G55" i="50"/>
  <c r="G53" i="50"/>
  <c r="G52" i="50"/>
  <c r="G50" i="50"/>
  <c r="G49" i="50"/>
  <c r="G48" i="50"/>
  <c r="G47" i="50"/>
  <c r="G46" i="50"/>
  <c r="G45" i="50"/>
  <c r="G44" i="50"/>
  <c r="G43" i="50"/>
  <c r="G42" i="50"/>
  <c r="G38" i="50"/>
  <c r="O37" i="50"/>
  <c r="G37" i="50"/>
  <c r="O36" i="50"/>
  <c r="G36" i="50"/>
  <c r="O35" i="50"/>
  <c r="G35" i="50"/>
  <c r="O33" i="50"/>
  <c r="G33" i="50"/>
  <c r="O32" i="50"/>
  <c r="G32" i="50"/>
  <c r="O31" i="50"/>
  <c r="G31" i="50"/>
  <c r="O30" i="50"/>
  <c r="G30" i="50"/>
  <c r="O28" i="50"/>
  <c r="G28" i="50"/>
  <c r="O27" i="50"/>
  <c r="O26" i="50"/>
  <c r="G26" i="50"/>
  <c r="O24" i="50"/>
  <c r="G24" i="50"/>
  <c r="O23" i="50"/>
  <c r="G23" i="50"/>
  <c r="O22" i="50"/>
  <c r="G22" i="50"/>
  <c r="O21" i="50"/>
  <c r="G21" i="50"/>
  <c r="O20" i="50"/>
  <c r="G20" i="50"/>
  <c r="O19" i="50"/>
  <c r="G19" i="50"/>
  <c r="O18" i="50"/>
  <c r="G18" i="50"/>
  <c r="O17" i="50"/>
  <c r="G17" i="50"/>
  <c r="O16" i="50"/>
  <c r="G16" i="50"/>
  <c r="O15" i="50"/>
  <c r="G15" i="50"/>
  <c r="O14" i="50"/>
  <c r="G14" i="50"/>
  <c r="G13" i="50"/>
  <c r="O72" i="49"/>
  <c r="G72" i="49"/>
  <c r="G70" i="49"/>
  <c r="G69" i="49"/>
  <c r="G65" i="49"/>
  <c r="O63" i="49"/>
  <c r="G63" i="49"/>
  <c r="O62" i="49"/>
  <c r="G62" i="49"/>
  <c r="G61" i="49"/>
  <c r="O58" i="49"/>
  <c r="G58" i="49"/>
  <c r="G54" i="49"/>
  <c r="O53" i="49"/>
  <c r="G53" i="49"/>
  <c r="G52" i="49"/>
  <c r="G47" i="49"/>
  <c r="F46" i="49"/>
  <c r="G44" i="49"/>
  <c r="O44" i="49"/>
  <c r="G43" i="49"/>
  <c r="O43" i="49"/>
  <c r="O42" i="49"/>
  <c r="G40" i="49"/>
  <c r="G37" i="49"/>
  <c r="G36" i="49"/>
  <c r="O35" i="49"/>
  <c r="O31" i="49"/>
  <c r="G31" i="49"/>
  <c r="O29" i="49"/>
  <c r="G29" i="49"/>
  <c r="O27" i="49"/>
  <c r="F27" i="49" s="1"/>
  <c r="G27" i="49" s="1"/>
  <c r="G23" i="49"/>
  <c r="G22" i="49"/>
  <c r="G21" i="49"/>
  <c r="G20" i="49"/>
  <c r="G19" i="49"/>
  <c r="F18" i="49"/>
  <c r="F17" i="49" s="1"/>
  <c r="G17" i="49" s="1"/>
  <c r="O16" i="49"/>
  <c r="F16" i="49" s="1"/>
  <c r="G16" i="49" s="1"/>
  <c r="O15" i="49"/>
  <c r="F15" i="49" s="1"/>
  <c r="G15" i="49" s="1"/>
  <c r="F14" i="49"/>
  <c r="O13" i="49"/>
  <c r="F13" i="49" s="1"/>
  <c r="F11" i="43" s="1"/>
  <c r="O10" i="49"/>
  <c r="G10" i="49"/>
  <c r="G13" i="49" l="1"/>
  <c r="O34" i="49"/>
  <c r="F35" i="49"/>
  <c r="G302" i="50"/>
  <c r="G452" i="50"/>
  <c r="G46" i="49"/>
  <c r="F25" i="43"/>
  <c r="G25" i="43" s="1"/>
  <c r="O259" i="50"/>
  <c r="F259" i="50" s="1"/>
  <c r="O41" i="49"/>
  <c r="F41" i="49" s="1"/>
  <c r="O342" i="50"/>
  <c r="O207" i="50"/>
  <c r="O350" i="50"/>
  <c r="O308" i="50"/>
  <c r="O28" i="49"/>
  <c r="F45" i="49"/>
  <c r="G18" i="49"/>
  <c r="F12" i="43"/>
  <c r="O19" i="49"/>
  <c r="O367" i="50"/>
  <c r="O193" i="50"/>
  <c r="F193" i="50" s="1"/>
  <c r="G451" i="50"/>
  <c r="O68" i="49"/>
  <c r="F68" i="49" s="1"/>
  <c r="O52" i="49"/>
  <c r="O46" i="49" s="1"/>
  <c r="O14" i="49"/>
  <c r="O71" i="49"/>
  <c r="F71" i="49" s="1"/>
  <c r="O57" i="49"/>
  <c r="F57" i="49" s="1"/>
  <c r="O298" i="50"/>
  <c r="F298" i="50" s="1"/>
  <c r="O229" i="50"/>
  <c r="F229" i="50" s="1"/>
  <c r="O431" i="50"/>
  <c r="O204" i="50"/>
  <c r="F237" i="50"/>
  <c r="O382" i="50"/>
  <c r="F382" i="50" s="1"/>
  <c r="F450" i="50"/>
  <c r="O240" i="50"/>
  <c r="F240" i="50" s="1"/>
  <c r="G240" i="50" s="1"/>
  <c r="O371" i="50"/>
  <c r="F371" i="50" s="1"/>
  <c r="O285" i="50"/>
  <c r="F285" i="50" s="1"/>
  <c r="O267" i="50"/>
  <c r="F267" i="50" s="1"/>
  <c r="O419" i="50"/>
  <c r="O447" i="50"/>
  <c r="O13" i="50"/>
  <c r="O11" i="50" s="1"/>
  <c r="G460" i="50"/>
  <c r="G455" i="50"/>
  <c r="G457" i="50"/>
  <c r="G461" i="50"/>
  <c r="G445" i="50"/>
  <c r="O9" i="49"/>
  <c r="F9" i="49" s="1"/>
  <c r="G14" i="49"/>
  <c r="G221" i="50"/>
  <c r="G456" i="50"/>
  <c r="G446" i="50"/>
  <c r="O26" i="49" l="1"/>
  <c r="O25" i="49" s="1"/>
  <c r="F28" i="49"/>
  <c r="F34" i="43"/>
  <c r="G34" i="43" s="1"/>
  <c r="G71" i="49"/>
  <c r="G35" i="49"/>
  <c r="F34" i="49"/>
  <c r="F56" i="49"/>
  <c r="G57" i="49"/>
  <c r="F39" i="49"/>
  <c r="G41" i="49"/>
  <c r="F10" i="43"/>
  <c r="G9" i="49"/>
  <c r="F8" i="49"/>
  <c r="G8" i="49" s="1"/>
  <c r="F33" i="43"/>
  <c r="G68" i="49"/>
  <c r="F67" i="49"/>
  <c r="M20" i="43"/>
  <c r="N20" i="43" s="1"/>
  <c r="G229" i="50"/>
  <c r="M32" i="43"/>
  <c r="N32" i="43" s="1"/>
  <c r="G298" i="50"/>
  <c r="M29" i="43"/>
  <c r="N29" i="43" s="1"/>
  <c r="G285" i="50"/>
  <c r="F273" i="50"/>
  <c r="M36" i="43"/>
  <c r="N36" i="43" s="1"/>
  <c r="G371" i="50"/>
  <c r="M37" i="43"/>
  <c r="N37" i="43" s="1"/>
  <c r="G382" i="50"/>
  <c r="F250" i="50"/>
  <c r="G259" i="50"/>
  <c r="M23" i="43"/>
  <c r="N23" i="43" s="1"/>
  <c r="G267" i="50"/>
  <c r="F232" i="50"/>
  <c r="G237" i="50"/>
  <c r="M12" i="43"/>
  <c r="N12" i="43" s="1"/>
  <c r="G193" i="50"/>
  <c r="O203" i="50"/>
  <c r="F203" i="50" s="1"/>
  <c r="O306" i="50"/>
  <c r="F306" i="50" s="1"/>
  <c r="F54" i="50"/>
  <c r="O250" i="50"/>
  <c r="O349" i="50"/>
  <c r="F349" i="50" s="1"/>
  <c r="G220" i="50"/>
  <c r="F24" i="43"/>
  <c r="F23" i="43" s="1"/>
  <c r="G26" i="43"/>
  <c r="G24" i="43" s="1"/>
  <c r="G23" i="43" s="1"/>
  <c r="O414" i="50"/>
  <c r="O232" i="50"/>
  <c r="G45" i="49"/>
  <c r="G450" i="50"/>
  <c r="M45" i="43"/>
  <c r="N45" i="43" s="1"/>
  <c r="O67" i="49"/>
  <c r="O8" i="49"/>
  <c r="G56" i="49" l="1"/>
  <c r="F55" i="49"/>
  <c r="G34" i="49"/>
  <c r="F19" i="43"/>
  <c r="G28" i="49"/>
  <c r="F26" i="49"/>
  <c r="F38" i="49"/>
  <c r="G39" i="49"/>
  <c r="F7" i="49"/>
  <c r="G67" i="49"/>
  <c r="F66" i="49"/>
  <c r="G66" i="49" s="1"/>
  <c r="F31" i="43"/>
  <c r="F30" i="43" s="1"/>
  <c r="G33" i="43"/>
  <c r="G31" i="43" s="1"/>
  <c r="G30" i="43" s="1"/>
  <c r="M35" i="43"/>
  <c r="N35" i="43" s="1"/>
  <c r="G349" i="50"/>
  <c r="M15" i="43"/>
  <c r="N15" i="43" s="1"/>
  <c r="G203" i="50"/>
  <c r="M22" i="43"/>
  <c r="N22" i="43" s="1"/>
  <c r="G250" i="50"/>
  <c r="G273" i="50"/>
  <c r="F272" i="50"/>
  <c r="G272" i="50" s="1"/>
  <c r="M21" i="43"/>
  <c r="F228" i="50"/>
  <c r="M34" i="43"/>
  <c r="N34" i="43" s="1"/>
  <c r="G306" i="50"/>
  <c r="M11" i="43"/>
  <c r="N11" i="43" s="1"/>
  <c r="G54" i="50"/>
  <c r="O10" i="50"/>
  <c r="G7" i="49"/>
  <c r="G232" i="50"/>
  <c r="G38" i="49" l="1"/>
  <c r="F22" i="43"/>
  <c r="G26" i="49"/>
  <c r="F25" i="49"/>
  <c r="F18" i="43"/>
  <c r="F29" i="43"/>
  <c r="G55" i="49"/>
  <c r="O9" i="50"/>
  <c r="I196" i="50" s="1"/>
  <c r="O196" i="50" s="1"/>
  <c r="F196" i="50" s="1"/>
  <c r="F10" i="50"/>
  <c r="N21" i="43"/>
  <c r="M19" i="43"/>
  <c r="G228" i="50"/>
  <c r="F24" i="49" l="1"/>
  <c r="G25" i="49"/>
  <c r="F28" i="43"/>
  <c r="F27" i="43" s="1"/>
  <c r="G29" i="43"/>
  <c r="G28" i="43" s="1"/>
  <c r="G27" i="43" s="1"/>
  <c r="F9" i="50"/>
  <c r="G10" i="50"/>
  <c r="M13" i="43"/>
  <c r="N13" i="43" s="1"/>
  <c r="G196" i="50"/>
  <c r="I200" i="50"/>
  <c r="I201" i="50" s="1"/>
  <c r="I202" i="50" s="1"/>
  <c r="I198" i="50"/>
  <c r="O202" i="50" l="1"/>
  <c r="F202" i="50" s="1"/>
  <c r="G202" i="50" s="1"/>
  <c r="G24" i="49"/>
  <c r="F6" i="49"/>
  <c r="G6" i="49" s="1"/>
  <c r="G9" i="50"/>
  <c r="M10" i="43"/>
  <c r="N10" i="43" s="1"/>
  <c r="G198" i="50"/>
  <c r="O200" i="50"/>
  <c r="F200" i="50" s="1"/>
  <c r="G200" i="50" s="1"/>
  <c r="O201" i="50"/>
  <c r="F201" i="50" s="1"/>
  <c r="G201" i="50" s="1"/>
  <c r="F14" i="43"/>
  <c r="F13" i="43" s="1"/>
  <c r="F17" i="43"/>
  <c r="F16" i="43" s="1"/>
  <c r="I199" i="50" l="1"/>
  <c r="M26" i="43"/>
  <c r="O199" i="50" l="1"/>
  <c r="N26" i="43"/>
  <c r="O197" i="50" l="1"/>
  <c r="F199" i="50"/>
  <c r="G199" i="50" s="1"/>
  <c r="N42" i="43"/>
  <c r="F197" i="50" l="1"/>
  <c r="G197" i="50" s="1"/>
  <c r="F8" i="50"/>
  <c r="F7" i="50" s="1"/>
  <c r="G7" i="50" s="1"/>
  <c r="M14" i="43"/>
  <c r="N14" i="43" s="1"/>
  <c r="M52" i="43"/>
  <c r="M51" i="43" s="1"/>
  <c r="M47" i="43"/>
  <c r="M46" i="43" s="1"/>
  <c r="M44" i="43"/>
  <c r="M43" i="43" s="1"/>
  <c r="M41" i="43"/>
  <c r="M25" i="43"/>
  <c r="M16" i="43"/>
  <c r="F21" i="43"/>
  <c r="F20" i="43" s="1"/>
  <c r="F9" i="43"/>
  <c r="F8" i="43" s="1"/>
  <c r="M9" i="43" l="1"/>
  <c r="M8" i="43" s="1"/>
  <c r="G8" i="50"/>
  <c r="M40" i="43"/>
  <c r="F7" i="43"/>
  <c r="G18" i="43"/>
  <c r="G19" i="43"/>
  <c r="G22" i="43"/>
  <c r="G21" i="43" s="1"/>
  <c r="G20" i="43" s="1"/>
  <c r="G11" i="43"/>
  <c r="G12" i="43"/>
  <c r="G15" i="43"/>
  <c r="G14" i="43" s="1"/>
  <c r="G13" i="43" s="1"/>
  <c r="N41" i="43" l="1"/>
  <c r="N40" i="43"/>
  <c r="G17" i="43"/>
  <c r="G16" i="43" s="1"/>
  <c r="N47" i="43"/>
  <c r="N44" i="43"/>
  <c r="N46" i="43"/>
  <c r="N25" i="43"/>
  <c r="N19" i="43"/>
  <c r="N16" i="43"/>
  <c r="N43" i="43"/>
  <c r="N51" i="43"/>
  <c r="N52" i="43"/>
  <c r="N53" i="43" l="1"/>
  <c r="N9" i="43" l="1"/>
  <c r="N8" i="43" l="1"/>
  <c r="G10" i="43" l="1"/>
  <c r="G9" i="43" s="1"/>
  <c r="G8" i="43" l="1"/>
  <c r="G7" i="43" s="1"/>
  <c r="I396" i="50"/>
  <c r="O396" i="50" s="1"/>
  <c r="I397" i="50" s="1"/>
  <c r="O397" i="50" s="1"/>
  <c r="O394" i="50"/>
  <c r="I398" i="50"/>
  <c r="O398" i="50" s="1"/>
  <c r="I399" i="50" l="1"/>
  <c r="I400" i="50" s="1"/>
  <c r="O400" i="50" s="1"/>
  <c r="O399" i="50" l="1"/>
  <c r="O395" i="50" s="1"/>
  <c r="O388" i="50" s="1"/>
  <c r="F388" i="50" s="1"/>
  <c r="F297" i="50" l="1"/>
  <c r="M38" i="43"/>
  <c r="G388" i="50"/>
  <c r="N38" i="43" l="1"/>
  <c r="N31" i="43" s="1"/>
  <c r="N30" i="43" s="1"/>
  <c r="M31" i="43"/>
  <c r="M30" i="43" s="1"/>
  <c r="M7" i="43" s="1"/>
  <c r="N7" i="43" s="1"/>
  <c r="O7" i="43" s="1"/>
  <c r="F296" i="50"/>
  <c r="G297" i="50"/>
  <c r="G296" i="50" l="1"/>
  <c r="F6" i="50"/>
  <c r="G6" i="50" l="1"/>
  <c r="F3" i="50"/>
</calcChain>
</file>

<file path=xl/sharedStrings.xml><?xml version="1.0" encoding="utf-8"?>
<sst xmlns="http://schemas.openxmlformats.org/spreadsheetml/2006/main" count="2380" uniqueCount="728">
  <si>
    <t>증  감            (B―A)</t>
    <phoneticPr fontId="2" type="noConversion"/>
  </si>
  <si>
    <t>01_사무비</t>
    <phoneticPr fontId="2" type="noConversion"/>
  </si>
  <si>
    <t>111_급여</t>
    <phoneticPr fontId="2" type="noConversion"/>
  </si>
  <si>
    <t>12_업무추진비</t>
    <phoneticPr fontId="2" type="noConversion"/>
  </si>
  <si>
    <t>121_기관운영비</t>
    <phoneticPr fontId="2" type="noConversion"/>
  </si>
  <si>
    <t>123_회의비</t>
    <phoneticPr fontId="2" type="noConversion"/>
  </si>
  <si>
    <t>13_운영비</t>
    <phoneticPr fontId="2" type="noConversion"/>
  </si>
  <si>
    <t>02_재산조성비</t>
    <phoneticPr fontId="2" type="noConversion"/>
  </si>
  <si>
    <t>21_시설비</t>
    <phoneticPr fontId="2" type="noConversion"/>
  </si>
  <si>
    <t>211_시설비</t>
    <phoneticPr fontId="2" type="noConversion"/>
  </si>
  <si>
    <t>212_자산취득비</t>
    <phoneticPr fontId="2" type="noConversion"/>
  </si>
  <si>
    <t>213_시설장비유지비</t>
    <phoneticPr fontId="2" type="noConversion"/>
  </si>
  <si>
    <t>03_사업비</t>
    <phoneticPr fontId="2" type="noConversion"/>
  </si>
  <si>
    <t>01_사업수입</t>
    <phoneticPr fontId="2" type="noConversion"/>
  </si>
  <si>
    <t>11_사업수입</t>
    <phoneticPr fontId="2" type="noConversion"/>
  </si>
  <si>
    <t xml:space="preserve"> </t>
    <phoneticPr fontId="2" type="noConversion"/>
  </si>
  <si>
    <t>11_인건비</t>
    <phoneticPr fontId="2" type="noConversion"/>
  </si>
  <si>
    <t>합     계</t>
    <phoneticPr fontId="2" type="noConversion"/>
  </si>
  <si>
    <t>31_스토어운영사업비</t>
    <phoneticPr fontId="2" type="noConversion"/>
  </si>
  <si>
    <t>311_원재료비</t>
    <phoneticPr fontId="2" type="noConversion"/>
  </si>
  <si>
    <t>312_제품수거가공비</t>
    <phoneticPr fontId="2" type="noConversion"/>
  </si>
  <si>
    <t>313_매장운영경비</t>
    <phoneticPr fontId="2" type="noConversion"/>
  </si>
  <si>
    <t>314_광고판촉비</t>
    <phoneticPr fontId="2" type="noConversion"/>
  </si>
  <si>
    <t>111_스토어사업수입</t>
    <phoneticPr fontId="2" type="noConversion"/>
  </si>
  <si>
    <t>합       계</t>
    <phoneticPr fontId="2" type="noConversion"/>
  </si>
  <si>
    <t>04_과년도지출</t>
    <phoneticPr fontId="2" type="noConversion"/>
  </si>
  <si>
    <t>41_과년도지출</t>
    <phoneticPr fontId="2" type="noConversion"/>
  </si>
  <si>
    <t>411_과년도지출</t>
    <phoneticPr fontId="2" type="noConversion"/>
  </si>
  <si>
    <t>05_잡지출</t>
    <phoneticPr fontId="2" type="noConversion"/>
  </si>
  <si>
    <t>51_잡지출</t>
    <phoneticPr fontId="2" type="noConversion"/>
  </si>
  <si>
    <t>511_잡지출</t>
    <phoneticPr fontId="2" type="noConversion"/>
  </si>
  <si>
    <t>611_예비비</t>
    <phoneticPr fontId="2" type="noConversion"/>
  </si>
  <si>
    <t>112_커머셜사업수입</t>
    <phoneticPr fontId="2" type="noConversion"/>
  </si>
  <si>
    <t>315_도서인쇄비</t>
    <phoneticPr fontId="2" type="noConversion"/>
  </si>
  <si>
    <t>316_교육연수비</t>
    <phoneticPr fontId="2" type="noConversion"/>
  </si>
  <si>
    <t>02_과년도수입</t>
    <phoneticPr fontId="2" type="noConversion"/>
  </si>
  <si>
    <t>21_과년도수입</t>
    <phoneticPr fontId="2" type="noConversion"/>
  </si>
  <si>
    <t>211_과년도수입</t>
    <phoneticPr fontId="2" type="noConversion"/>
  </si>
  <si>
    <t>03_보조금수입</t>
    <phoneticPr fontId="2" type="noConversion"/>
  </si>
  <si>
    <t>31_보조금수입</t>
    <phoneticPr fontId="2" type="noConversion"/>
  </si>
  <si>
    <t>311_시·도보조금수입</t>
    <phoneticPr fontId="2" type="noConversion"/>
  </si>
  <si>
    <t>04_후원금수입</t>
    <phoneticPr fontId="2" type="noConversion"/>
  </si>
  <si>
    <t>41_후원금수입</t>
    <phoneticPr fontId="2" type="noConversion"/>
  </si>
  <si>
    <t>411_지정후원금수입</t>
    <phoneticPr fontId="2" type="noConversion"/>
  </si>
  <si>
    <t>05_전입금수입</t>
    <phoneticPr fontId="2" type="noConversion"/>
  </si>
  <si>
    <t>51_전입금수입</t>
    <phoneticPr fontId="2" type="noConversion"/>
  </si>
  <si>
    <t>06_이월금</t>
    <phoneticPr fontId="2" type="noConversion"/>
  </si>
  <si>
    <t>61_이월금</t>
    <phoneticPr fontId="2" type="noConversion"/>
  </si>
  <si>
    <t>611_전년도이월금</t>
    <phoneticPr fontId="2" type="noConversion"/>
  </si>
  <si>
    <t>07_잡수입</t>
    <phoneticPr fontId="2" type="noConversion"/>
  </si>
  <si>
    <t>71_잡수입</t>
    <phoneticPr fontId="2" type="noConversion"/>
  </si>
  <si>
    <t>711_불용품매각대</t>
    <phoneticPr fontId="2" type="noConversion"/>
  </si>
  <si>
    <t>712_기타예금이자수입</t>
    <phoneticPr fontId="2" type="noConversion"/>
  </si>
  <si>
    <t>713_기타잡수입</t>
    <phoneticPr fontId="2" type="noConversion"/>
  </si>
  <si>
    <t>317_직업재활비</t>
    <phoneticPr fontId="2" type="noConversion"/>
  </si>
  <si>
    <t>112_제수당</t>
    <phoneticPr fontId="2" type="noConversion"/>
  </si>
  <si>
    <t>113_일용잡급</t>
    <phoneticPr fontId="2" type="noConversion"/>
  </si>
  <si>
    <t>114_퇴직적립금</t>
    <phoneticPr fontId="2" type="noConversion"/>
  </si>
  <si>
    <t>115_사회보험부담금</t>
    <phoneticPr fontId="2" type="noConversion"/>
  </si>
  <si>
    <t>116_기타후생경비</t>
    <phoneticPr fontId="2" type="noConversion"/>
  </si>
  <si>
    <t>132_공공요금</t>
    <phoneticPr fontId="2" type="noConversion"/>
  </si>
  <si>
    <t>133_제세공과금</t>
    <phoneticPr fontId="2" type="noConversion"/>
  </si>
  <si>
    <t>133_차량비</t>
    <phoneticPr fontId="2" type="noConversion"/>
  </si>
  <si>
    <t>312_기타보조금수입</t>
    <phoneticPr fontId="2" type="noConversion"/>
  </si>
  <si>
    <t>예산과목</t>
    <phoneticPr fontId="2" type="noConversion"/>
  </si>
  <si>
    <t>관/항/목/세목</t>
    <phoneticPr fontId="2" type="noConversion"/>
  </si>
  <si>
    <t>관/항/목/세목</t>
    <phoneticPr fontId="2" type="noConversion"/>
  </si>
  <si>
    <t>612_반환금</t>
    <phoneticPr fontId="2" type="noConversion"/>
  </si>
  <si>
    <t>07_적립금</t>
    <phoneticPr fontId="2" type="noConversion"/>
  </si>
  <si>
    <t>71_운영충당적립금</t>
    <phoneticPr fontId="2" type="noConversion"/>
  </si>
  <si>
    <t>711_운영충당적립금</t>
    <phoneticPr fontId="2" type="noConversion"/>
  </si>
  <si>
    <t>06_예비비및기타</t>
    <phoneticPr fontId="2" type="noConversion"/>
  </si>
  <si>
    <t>61_예비비및기타</t>
    <phoneticPr fontId="2" type="noConversion"/>
  </si>
  <si>
    <t>131_여비교통비</t>
    <phoneticPr fontId="2" type="noConversion"/>
  </si>
  <si>
    <t>512_법인전입금후원금</t>
    <phoneticPr fontId="2" type="noConversion"/>
  </si>
  <si>
    <t>511_법인전입금</t>
    <phoneticPr fontId="2" type="noConversion"/>
  </si>
  <si>
    <t>산        출        내        역</t>
    <phoneticPr fontId="2" type="noConversion"/>
  </si>
  <si>
    <t>O 스토어사업 합계</t>
    <phoneticPr fontId="2" type="noConversion"/>
  </si>
  <si>
    <t>원</t>
    <phoneticPr fontId="2" type="noConversion"/>
  </si>
  <si>
    <t>*</t>
    <phoneticPr fontId="2" type="noConversion"/>
  </si>
  <si>
    <t>월</t>
    <phoneticPr fontId="2" type="noConversion"/>
  </si>
  <si>
    <t>=</t>
    <phoneticPr fontId="2" type="noConversion"/>
  </si>
  <si>
    <t>회</t>
    <phoneticPr fontId="2" type="noConversion"/>
  </si>
  <si>
    <t xml:space="preserve">O 인건비 </t>
    <phoneticPr fontId="2" type="noConversion"/>
  </si>
  <si>
    <t>O 운영비 합계</t>
    <phoneticPr fontId="2" type="noConversion"/>
  </si>
  <si>
    <t xml:space="preserve">  1. 관리운영비</t>
    <phoneticPr fontId="2" type="noConversion"/>
  </si>
  <si>
    <t xml:space="preserve">  2. 장애인수가중지원</t>
    <phoneticPr fontId="2" type="noConversion"/>
  </si>
  <si>
    <t>명</t>
    <phoneticPr fontId="2" type="noConversion"/>
  </si>
  <si>
    <t>O 지정후원금수입 합계</t>
    <phoneticPr fontId="2" type="noConversion"/>
  </si>
  <si>
    <t>O 법인전입금 합계</t>
    <phoneticPr fontId="2" type="noConversion"/>
  </si>
  <si>
    <t xml:space="preserve">O 법인전입금 </t>
    <phoneticPr fontId="2" type="noConversion"/>
  </si>
  <si>
    <t>O 법인전입금 후원금 합계</t>
    <phoneticPr fontId="2" type="noConversion"/>
  </si>
  <si>
    <t>O 전년도이월금 합계</t>
    <phoneticPr fontId="2" type="noConversion"/>
  </si>
  <si>
    <t xml:space="preserve">  1. 사업비(일반)</t>
    <phoneticPr fontId="2" type="noConversion"/>
  </si>
  <si>
    <t>O 이자수입 합계</t>
    <phoneticPr fontId="2" type="noConversion"/>
  </si>
  <si>
    <t xml:space="preserve">  1. 정기적금만기이자</t>
    <phoneticPr fontId="2" type="noConversion"/>
  </si>
  <si>
    <t xml:space="preserve">  2. 보통예금이자</t>
    <phoneticPr fontId="2" type="noConversion"/>
  </si>
  <si>
    <t>O 기타잡수입</t>
    <phoneticPr fontId="2" type="noConversion"/>
  </si>
  <si>
    <t>[급여 합계]</t>
    <phoneticPr fontId="2" type="noConversion"/>
  </si>
  <si>
    <t>1111_직원급여</t>
    <phoneticPr fontId="2" type="noConversion"/>
  </si>
  <si>
    <t>원×</t>
    <phoneticPr fontId="2" type="noConversion"/>
  </si>
  <si>
    <t>1</t>
    <phoneticPr fontId="2" type="noConversion"/>
  </si>
  <si>
    <t>명×</t>
    <phoneticPr fontId="2" type="noConversion"/>
  </si>
  <si>
    <t>월=</t>
    <phoneticPr fontId="2" type="noConversion"/>
  </si>
  <si>
    <t>×</t>
    <phoneticPr fontId="2" type="noConversion"/>
  </si>
  <si>
    <t>회=</t>
    <phoneticPr fontId="2" type="noConversion"/>
  </si>
  <si>
    <t>×</t>
  </si>
  <si>
    <t>1112_근로인급여</t>
    <phoneticPr fontId="2" type="noConversion"/>
  </si>
  <si>
    <t>10</t>
    <phoneticPr fontId="2" type="noConversion"/>
  </si>
  <si>
    <t>h×</t>
    <phoneticPr fontId="2" type="noConversion"/>
  </si>
  <si>
    <t>3</t>
    <phoneticPr fontId="2" type="noConversion"/>
  </si>
  <si>
    <t>[일용잡급 계]_사업수입</t>
    <phoneticPr fontId="2" type="noConversion"/>
  </si>
  <si>
    <t xml:space="preserve">  2. 유급자원봉사자</t>
    <phoneticPr fontId="2" type="noConversion"/>
  </si>
  <si>
    <t>[퇴직적립금 합계]</t>
    <phoneticPr fontId="2" type="noConversion"/>
  </si>
  <si>
    <t xml:space="preserve">[사회보험부담금 합계] </t>
    <phoneticPr fontId="2" type="noConversion"/>
  </si>
  <si>
    <t>1151_건강보험</t>
    <phoneticPr fontId="2" type="noConversion"/>
  </si>
  <si>
    <t>O 건강보험부담금 계</t>
    <phoneticPr fontId="2" type="noConversion"/>
  </si>
  <si>
    <t>1152_요양보험</t>
    <phoneticPr fontId="2" type="noConversion"/>
  </si>
  <si>
    <t>O 요양보험부담금 계</t>
    <phoneticPr fontId="2" type="noConversion"/>
  </si>
  <si>
    <t>1153_국민연금</t>
    <phoneticPr fontId="2" type="noConversion"/>
  </si>
  <si>
    <t>O 국민연금부담금</t>
    <phoneticPr fontId="2" type="noConversion"/>
  </si>
  <si>
    <t>1154_고용보험</t>
    <phoneticPr fontId="2" type="noConversion"/>
  </si>
  <si>
    <t>O 고용보험부담금 계</t>
    <phoneticPr fontId="2" type="noConversion"/>
  </si>
  <si>
    <t>1155_산재보험</t>
    <phoneticPr fontId="2" type="noConversion"/>
  </si>
  <si>
    <t>O 산재보험부담금 계</t>
    <phoneticPr fontId="2" type="noConversion"/>
  </si>
  <si>
    <t>[기타후생경비 합계]</t>
    <phoneticPr fontId="2" type="noConversion"/>
  </si>
  <si>
    <t>O 명절선물비 소계</t>
    <phoneticPr fontId="2" type="noConversion"/>
  </si>
  <si>
    <t>O 직원 의료비</t>
    <phoneticPr fontId="2" type="noConversion"/>
  </si>
  <si>
    <t>일=</t>
    <phoneticPr fontId="2" type="noConversion"/>
  </si>
  <si>
    <t xml:space="preserve">O 회의비 합계 </t>
    <phoneticPr fontId="2" type="noConversion"/>
  </si>
  <si>
    <t>O 여비교통비 합계</t>
    <phoneticPr fontId="2" type="noConversion"/>
  </si>
  <si>
    <t xml:space="preserve">  1. 국내출장여비</t>
    <phoneticPr fontId="2" type="noConversion"/>
  </si>
  <si>
    <t xml:space="preserve">  2. 시내교통카드충전</t>
    <phoneticPr fontId="2" type="noConversion"/>
  </si>
  <si>
    <t>1321_통신비</t>
    <phoneticPr fontId="2" type="noConversion"/>
  </si>
  <si>
    <t>대</t>
    <phoneticPr fontId="2" type="noConversion"/>
  </si>
  <si>
    <t>대×</t>
    <phoneticPr fontId="2" type="noConversion"/>
  </si>
  <si>
    <t>O 차량비 합계</t>
    <phoneticPr fontId="2" type="noConversion"/>
  </si>
  <si>
    <t xml:space="preserve">  1. 유류비</t>
    <phoneticPr fontId="2" type="noConversion"/>
  </si>
  <si>
    <t xml:space="preserve">  4. 소모품교체 등 수리비</t>
    <phoneticPr fontId="2" type="noConversion"/>
  </si>
  <si>
    <t>O 도서인쇄비 합계</t>
    <phoneticPr fontId="2" type="noConversion"/>
  </si>
  <si>
    <t xml:space="preserve">  1. 매거진 제작비</t>
    <phoneticPr fontId="2" type="noConversion"/>
  </si>
  <si>
    <t xml:space="preserve">  2. 리플렛/전단지</t>
    <phoneticPr fontId="2" type="noConversion"/>
  </si>
  <si>
    <t xml:space="preserve">  3. 현수막 등 실사출력</t>
    <phoneticPr fontId="2" type="noConversion"/>
  </si>
  <si>
    <t xml:space="preserve">  4. 개인기증자 NCR지 제작</t>
    <phoneticPr fontId="2" type="noConversion"/>
  </si>
  <si>
    <t>O 과년도지출 합계</t>
    <phoneticPr fontId="2" type="noConversion"/>
  </si>
  <si>
    <t>O 잡지출 합계</t>
    <phoneticPr fontId="2" type="noConversion"/>
  </si>
  <si>
    <t>O 부가가치세 납부</t>
    <phoneticPr fontId="2" type="noConversion"/>
  </si>
  <si>
    <t>113_기타수입</t>
    <phoneticPr fontId="2" type="noConversion"/>
  </si>
  <si>
    <t>1131_After Market</t>
    <phoneticPr fontId="2" type="noConversion"/>
  </si>
  <si>
    <t>O 기타수입 합계</t>
    <phoneticPr fontId="2" type="noConversion"/>
  </si>
  <si>
    <t>113_기타수입</t>
    <phoneticPr fontId="2" type="noConversion"/>
  </si>
  <si>
    <t xml:space="preserve">  1. 한마음캠프참가비</t>
    <phoneticPr fontId="2" type="noConversion"/>
  </si>
  <si>
    <t>O 연장근로수당 계(법인전입금)</t>
    <phoneticPr fontId="2" type="noConversion"/>
  </si>
  <si>
    <t xml:space="preserve">  1. 운영위원 회의수당</t>
    <phoneticPr fontId="2" type="noConversion"/>
  </si>
  <si>
    <t>O 공공요금 합계</t>
    <phoneticPr fontId="2" type="noConversion"/>
  </si>
  <si>
    <t xml:space="preserve">    - 상하수도요금</t>
    <phoneticPr fontId="2" type="noConversion"/>
  </si>
  <si>
    <t xml:space="preserve">    - 가스요금</t>
    <phoneticPr fontId="2" type="noConversion"/>
  </si>
  <si>
    <t>O 제세공과금 합계</t>
    <phoneticPr fontId="2" type="noConversion"/>
  </si>
  <si>
    <t xml:space="preserve">  2. 세금과공과금 계</t>
    <phoneticPr fontId="2" type="noConversion"/>
  </si>
  <si>
    <t xml:space="preserve">    - 자동차세</t>
    <phoneticPr fontId="2" type="noConversion"/>
  </si>
  <si>
    <t xml:space="preserve">    - 자동차환경개선부담금</t>
    <phoneticPr fontId="2" type="noConversion"/>
  </si>
  <si>
    <t xml:space="preserve">    - 전기안전관리자연회비</t>
    <phoneticPr fontId="2" type="noConversion"/>
  </si>
  <si>
    <t xml:space="preserve">  2. 도로통행료/주차비</t>
    <phoneticPr fontId="2" type="noConversion"/>
  </si>
  <si>
    <t>O 시설비 합계</t>
    <phoneticPr fontId="2" type="noConversion"/>
  </si>
  <si>
    <t>O 자산취득비 합계</t>
    <phoneticPr fontId="2" type="noConversion"/>
  </si>
  <si>
    <t>O 시설장비유지비 합계</t>
    <phoneticPr fontId="2" type="noConversion"/>
  </si>
  <si>
    <t>O 원재료비 합계</t>
    <phoneticPr fontId="2" type="noConversion"/>
  </si>
  <si>
    <t>O 제품수거가공비 합계</t>
    <phoneticPr fontId="2" type="noConversion"/>
  </si>
  <si>
    <t>O 매장운영경비 합계</t>
    <phoneticPr fontId="2" type="noConversion"/>
  </si>
  <si>
    <t xml:space="preserve">  1. 카드수수료</t>
    <phoneticPr fontId="2" type="noConversion"/>
  </si>
  <si>
    <t xml:space="preserve">    - 무인경비시스템용역료</t>
    <phoneticPr fontId="2" type="noConversion"/>
  </si>
  <si>
    <t xml:space="preserve">    - 거주자우선주차요금</t>
    <phoneticPr fontId="2" type="noConversion"/>
  </si>
  <si>
    <t xml:space="preserve">    - 대량문자발송충전</t>
    <phoneticPr fontId="2" type="noConversion"/>
  </si>
  <si>
    <t xml:space="preserve">    - TV유선방송수신료</t>
    <phoneticPr fontId="2" type="noConversion"/>
  </si>
  <si>
    <t xml:space="preserve">    - 건물방역용역료</t>
    <phoneticPr fontId="2" type="noConversion"/>
  </si>
  <si>
    <t xml:space="preserve">    - 정화조청소용역료</t>
    <phoneticPr fontId="2" type="noConversion"/>
  </si>
  <si>
    <t xml:space="preserve">    - 폐기물처리용역료</t>
    <phoneticPr fontId="2" type="noConversion"/>
  </si>
  <si>
    <t xml:space="preserve">    - 더존유지관리비</t>
    <phoneticPr fontId="2" type="noConversion"/>
  </si>
  <si>
    <t xml:space="preserve">    - 발급수수료</t>
    <phoneticPr fontId="2" type="noConversion"/>
  </si>
  <si>
    <t xml:space="preserve">    - 복합기임대료</t>
    <phoneticPr fontId="2" type="noConversion"/>
  </si>
  <si>
    <t xml:space="preserve">    - 승강기유지보수/검사</t>
    <phoneticPr fontId="2" type="noConversion"/>
  </si>
  <si>
    <t xml:space="preserve">    - 지게차임대</t>
    <phoneticPr fontId="2" type="noConversion"/>
  </si>
  <si>
    <t xml:space="preserve">    - 후원자관리유지보수</t>
    <phoneticPr fontId="2" type="noConversion"/>
  </si>
  <si>
    <t xml:space="preserve">    - 매장음악방송</t>
    <phoneticPr fontId="2" type="noConversion"/>
  </si>
  <si>
    <t xml:space="preserve">    - 영업소모품</t>
    <phoneticPr fontId="2" type="noConversion"/>
  </si>
  <si>
    <t xml:space="preserve">  4. 소모품 계</t>
    <phoneticPr fontId="2" type="noConversion"/>
  </si>
  <si>
    <t xml:space="preserve">  5. 사무용품</t>
    <phoneticPr fontId="2" type="noConversion"/>
  </si>
  <si>
    <t>O 광고판촉비 합계</t>
    <phoneticPr fontId="2" type="noConversion"/>
  </si>
  <si>
    <t xml:space="preserve">    - GOYA운영지원</t>
    <phoneticPr fontId="2" type="noConversion"/>
  </si>
  <si>
    <t>O 교육연수 합계</t>
    <phoneticPr fontId="2" type="noConversion"/>
  </si>
  <si>
    <t>세입</t>
    <phoneticPr fontId="2" type="noConversion"/>
  </si>
  <si>
    <t>세출</t>
    <phoneticPr fontId="2" type="noConversion"/>
  </si>
  <si>
    <t>(단위 : 천원)</t>
    <phoneticPr fontId="2" type="noConversion"/>
  </si>
  <si>
    <t>세입 세부내역</t>
    <phoneticPr fontId="2" type="noConversion"/>
  </si>
  <si>
    <t>밀알송파점</t>
    <phoneticPr fontId="2" type="noConversion"/>
  </si>
  <si>
    <t>일×</t>
    <phoneticPr fontId="2" type="noConversion"/>
  </si>
  <si>
    <t>세출 세부내역</t>
    <phoneticPr fontId="2" type="noConversion"/>
  </si>
  <si>
    <t>12</t>
    <phoneticPr fontId="2" type="noConversion"/>
  </si>
  <si>
    <t xml:space="preserve">    - 전기료</t>
    <phoneticPr fontId="2" type="noConversion"/>
  </si>
  <si>
    <t xml:space="preserve">    - 한직협회비</t>
    <phoneticPr fontId="2" type="noConversion"/>
  </si>
  <si>
    <t xml:space="preserve">    - 서직협회비</t>
    <phoneticPr fontId="2" type="noConversion"/>
  </si>
  <si>
    <t xml:space="preserve">    - 서사협회비</t>
    <phoneticPr fontId="2" type="noConversion"/>
  </si>
  <si>
    <t>4</t>
    <phoneticPr fontId="2" type="noConversion"/>
  </si>
  <si>
    <t xml:space="preserve">  4. 바닥왁싱</t>
    <phoneticPr fontId="2" type="noConversion"/>
  </si>
  <si>
    <t xml:space="preserve">  1. 상품가공비</t>
    <phoneticPr fontId="2" type="noConversion"/>
  </si>
  <si>
    <t xml:space="preserve">  2. 상품운반비</t>
    <phoneticPr fontId="2" type="noConversion"/>
  </si>
  <si>
    <t xml:space="preserve">    - 창고보관료</t>
    <phoneticPr fontId="2" type="noConversion"/>
  </si>
  <si>
    <t xml:space="preserve">    - 정수기</t>
    <phoneticPr fontId="2" type="noConversion"/>
  </si>
  <si>
    <t xml:space="preserve">    - 기증품수거용역(지입)</t>
    <phoneticPr fontId="2" type="noConversion"/>
  </si>
  <si>
    <t xml:space="preserve">    - 음식물스티커</t>
    <phoneticPr fontId="2" type="noConversion"/>
  </si>
  <si>
    <t xml:space="preserve">    - 퇴직연금관리수수료</t>
    <phoneticPr fontId="2" type="noConversion"/>
  </si>
  <si>
    <t xml:space="preserve">  3. GIK맴버십Fee 추정액</t>
    <phoneticPr fontId="2" type="noConversion"/>
  </si>
  <si>
    <t xml:space="preserve">    - 웹호스팅(홈페이지)</t>
    <phoneticPr fontId="2" type="noConversion"/>
  </si>
  <si>
    <t xml:space="preserve">    - 우수기증자 음악회초청</t>
    <phoneticPr fontId="2" type="noConversion"/>
  </si>
  <si>
    <t>O 사업수익 합계</t>
    <phoneticPr fontId="2" type="noConversion"/>
  </si>
  <si>
    <t xml:space="preserve">  1. 법인전입금 지정후원금</t>
    <phoneticPr fontId="2" type="noConversion"/>
  </si>
  <si>
    <t xml:space="preserve">  2. 법인전입금 비지정후원금</t>
    <phoneticPr fontId="2" type="noConversion"/>
  </si>
  <si>
    <t xml:space="preserve">  9. 인재개발담당(5급)_8호</t>
    <phoneticPr fontId="2" type="noConversion"/>
  </si>
  <si>
    <t xml:space="preserve">  6. 물류담당(5급/대리)_9호</t>
    <phoneticPr fontId="2" type="noConversion"/>
  </si>
  <si>
    <t xml:space="preserve">  1. 선임급_8h</t>
    <phoneticPr fontId="2" type="noConversion"/>
  </si>
  <si>
    <t xml:space="preserve">  2. 최저임금_6h</t>
    <phoneticPr fontId="2" type="noConversion"/>
  </si>
  <si>
    <t xml:space="preserve">  1. 장애인생산품 원가</t>
    <phoneticPr fontId="2" type="noConversion"/>
  </si>
  <si>
    <t xml:space="preserve">    - 포스관리비</t>
    <phoneticPr fontId="2" type="noConversion"/>
  </si>
  <si>
    <t xml:space="preserve">  2. 지급수수료 계</t>
    <phoneticPr fontId="2" type="noConversion"/>
  </si>
  <si>
    <t xml:space="preserve">  3. 지게차 수리비</t>
    <phoneticPr fontId="2" type="noConversion"/>
  </si>
  <si>
    <t xml:space="preserve">  1. 개인기증자 개발관리 계</t>
    <phoneticPr fontId="2" type="noConversion"/>
  </si>
  <si>
    <t>O 직업재활비 합계</t>
  </si>
  <si>
    <t xml:space="preserve">  1. 자기관리지원 소계</t>
  </si>
  <si>
    <t xml:space="preserve">    - 기초학습</t>
  </si>
  <si>
    <t xml:space="preserve">    - 체육교실</t>
  </si>
  <si>
    <t xml:space="preserve">  2. 생산성향상 소계</t>
  </si>
  <si>
    <t xml:space="preserve">    - 올해의 굿피플</t>
  </si>
  <si>
    <t xml:space="preserve">    - 이달의 굿피플(상품권)</t>
  </si>
  <si>
    <t xml:space="preserve">    - 담소나들이 </t>
  </si>
  <si>
    <t xml:space="preserve">    - 일삶교육</t>
  </si>
  <si>
    <t xml:space="preserve">  3. 여가활동지원 소계</t>
  </si>
  <si>
    <t xml:space="preserve">    - 한마음캠프</t>
  </si>
  <si>
    <t xml:space="preserve">    - 스포츠경기관람</t>
  </si>
  <si>
    <t xml:space="preserve">    - 문화/여가활동</t>
  </si>
  <si>
    <t>원×</t>
  </si>
  <si>
    <t>=</t>
  </si>
  <si>
    <t>원</t>
  </si>
  <si>
    <t>회</t>
  </si>
  <si>
    <t>명</t>
  </si>
  <si>
    <t>월</t>
  </si>
  <si>
    <t xml:space="preserve">    - 컬러프린터임대료</t>
    <phoneticPr fontId="2" type="noConversion"/>
  </si>
  <si>
    <t xml:space="preserve">  5. 기증봉투 제작</t>
    <phoneticPr fontId="2" type="noConversion"/>
  </si>
  <si>
    <t xml:space="preserve">  6. 명함제작</t>
    <phoneticPr fontId="2" type="noConversion"/>
  </si>
  <si>
    <t xml:space="preserve">    - 기획관리소모품</t>
    <phoneticPr fontId="2" type="noConversion"/>
  </si>
  <si>
    <t>O 일자리안정자금 합계</t>
    <phoneticPr fontId="2" type="noConversion"/>
  </si>
  <si>
    <t xml:space="preserve">  1. 단기 아르바이트 (수거,캠페인 등)</t>
    <phoneticPr fontId="2" type="noConversion"/>
  </si>
  <si>
    <t>-</t>
    <phoneticPr fontId="2" type="noConversion"/>
  </si>
  <si>
    <t>O 명절 선물</t>
    <phoneticPr fontId="2" type="noConversion"/>
  </si>
  <si>
    <t xml:space="preserve">    - 항균기 렌탈료</t>
    <phoneticPr fontId="2" type="noConversion"/>
  </si>
  <si>
    <t xml:space="preserve">    - 매장 판매행사(주년 등)</t>
    <phoneticPr fontId="2" type="noConversion"/>
  </si>
  <si>
    <t xml:space="preserve">    - 근로자 자치회의</t>
    <phoneticPr fontId="2" type="noConversion"/>
  </si>
  <si>
    <t xml:space="preserve">    - 보호자간담회</t>
    <phoneticPr fontId="2" type="noConversion"/>
  </si>
  <si>
    <t xml:space="preserve">    - 부모교육</t>
    <phoneticPr fontId="2" type="noConversion"/>
  </si>
  <si>
    <t>O 직원 경조사 등</t>
    <phoneticPr fontId="2" type="noConversion"/>
  </si>
  <si>
    <t>O 유니폼제작(조끼)</t>
    <phoneticPr fontId="2" type="noConversion"/>
  </si>
  <si>
    <t>O 서울시복지포인트(종사자)</t>
    <phoneticPr fontId="2" type="noConversion"/>
  </si>
  <si>
    <t xml:space="preserve">  - 10호봉 이상</t>
    <phoneticPr fontId="2" type="noConversion"/>
  </si>
  <si>
    <t xml:space="preserve">  3. 기획/기타매입 원가</t>
    <phoneticPr fontId="2" type="noConversion"/>
  </si>
  <si>
    <t xml:space="preserve">  2. 영업/기타매입 원가</t>
    <phoneticPr fontId="2" type="noConversion"/>
  </si>
  <si>
    <t xml:space="preserve">    - 믈류소모품</t>
    <phoneticPr fontId="2" type="noConversion"/>
  </si>
  <si>
    <t xml:space="preserve">    - 기업메일 사용료</t>
    <phoneticPr fontId="2" type="noConversion"/>
  </si>
  <si>
    <t xml:space="preserve">  2. 기타 전문직무 교육</t>
    <phoneticPr fontId="2" type="noConversion"/>
  </si>
  <si>
    <t xml:space="preserve">  1. 사회복지사 보수교육</t>
    <phoneticPr fontId="2" type="noConversion"/>
  </si>
  <si>
    <t xml:space="preserve">  3. 직원 워크숍</t>
    <phoneticPr fontId="2" type="noConversion"/>
  </si>
  <si>
    <t>명</t>
    <phoneticPr fontId="2" type="noConversion"/>
  </si>
  <si>
    <t xml:space="preserve">    - 기업캠페인시상</t>
    <phoneticPr fontId="2" type="noConversion"/>
  </si>
  <si>
    <t xml:space="preserve">    - 가을나들이</t>
    <phoneticPr fontId="2" type="noConversion"/>
  </si>
  <si>
    <t xml:space="preserve">  - 10호봉 미만</t>
    <phoneticPr fontId="2" type="noConversion"/>
  </si>
  <si>
    <t xml:space="preserve">    - 캠페인 천막</t>
    <phoneticPr fontId="2" type="noConversion"/>
  </si>
  <si>
    <t xml:space="preserve">    - 기타수수료</t>
    <phoneticPr fontId="2" type="noConversion"/>
  </si>
  <si>
    <t xml:space="preserve">  1. 기타잡지출(직원식비정산 포함)</t>
    <phoneticPr fontId="2" type="noConversion"/>
  </si>
  <si>
    <t xml:space="preserve">    - 정기봉사자 워크숍</t>
    <phoneticPr fontId="2" type="noConversion"/>
  </si>
  <si>
    <t xml:space="preserve">    - 봉사자 선물비</t>
    <phoneticPr fontId="2" type="noConversion"/>
  </si>
  <si>
    <t xml:space="preserve">  3. 사업비(정기예금)</t>
    <phoneticPr fontId="2" type="noConversion"/>
  </si>
  <si>
    <t xml:space="preserve">  4. 법인전입금</t>
    <phoneticPr fontId="2" type="noConversion"/>
  </si>
  <si>
    <t xml:space="preserve">  5. 보조금</t>
    <phoneticPr fontId="2" type="noConversion"/>
  </si>
  <si>
    <t xml:space="preserve">  6. 후원금</t>
    <phoneticPr fontId="2" type="noConversion"/>
  </si>
  <si>
    <t xml:space="preserve">  7. 신용카드 결제</t>
    <phoneticPr fontId="2" type="noConversion"/>
  </si>
  <si>
    <t>회</t>
    <phoneticPr fontId="2" type="noConversion"/>
  </si>
  <si>
    <t xml:space="preserve">    - 세무기장수수료</t>
    <phoneticPr fontId="2" type="noConversion"/>
  </si>
  <si>
    <t xml:space="preserve">    - 결산조정수수료</t>
    <phoneticPr fontId="2" type="noConversion"/>
  </si>
  <si>
    <t xml:space="preserve">    - 회계감사수수료</t>
    <phoneticPr fontId="2" type="noConversion"/>
  </si>
  <si>
    <t>116_자원봉사자운영비</t>
    <phoneticPr fontId="2" type="noConversion"/>
  </si>
  <si>
    <t>[자원봉사자운영비 합계]</t>
    <phoneticPr fontId="2" type="noConversion"/>
  </si>
  <si>
    <t>[장애직원 기타후생경비 합계]</t>
    <phoneticPr fontId="2" type="noConversion"/>
  </si>
  <si>
    <t>[장애직원 퇴직적립금 합계]</t>
    <phoneticPr fontId="2" type="noConversion"/>
  </si>
  <si>
    <t xml:space="preserve">[장애직원 사회보험부담금 합계] </t>
    <phoneticPr fontId="2" type="noConversion"/>
  </si>
  <si>
    <t xml:space="preserve">[장애직원 인건비 합계] </t>
    <phoneticPr fontId="2" type="noConversion"/>
  </si>
  <si>
    <t>[장애직원 직업재활비 합계]</t>
    <phoneticPr fontId="2" type="noConversion"/>
  </si>
  <si>
    <t xml:space="preserve">  - 근로인_선임</t>
    <phoneticPr fontId="2" type="noConversion"/>
  </si>
  <si>
    <t xml:space="preserve">  - 근로인_그린</t>
    <phoneticPr fontId="2" type="noConversion"/>
  </si>
  <si>
    <t>55</t>
    <phoneticPr fontId="2" type="noConversion"/>
  </si>
  <si>
    <t>133_기타운영비</t>
    <phoneticPr fontId="2" type="noConversion"/>
  </si>
  <si>
    <t>O 기타운영비 합계</t>
    <phoneticPr fontId="2" type="noConversion"/>
  </si>
  <si>
    <t>134_기타운영비</t>
    <phoneticPr fontId="2" type="noConversion"/>
  </si>
  <si>
    <t>318_자원봉사자운영비</t>
    <phoneticPr fontId="2" type="noConversion"/>
  </si>
  <si>
    <t xml:space="preserve">  3. 수도광열비 계</t>
    <phoneticPr fontId="2" type="noConversion"/>
  </si>
  <si>
    <t>1323_수도광열비</t>
    <phoneticPr fontId="2" type="noConversion"/>
  </si>
  <si>
    <t>1322_우편발송료</t>
    <phoneticPr fontId="2" type="noConversion"/>
  </si>
  <si>
    <t>1331_기타운영비</t>
    <phoneticPr fontId="2" type="noConversion"/>
  </si>
  <si>
    <t xml:space="preserve">    - 미술치료(강사, 전시회 준비)</t>
    <phoneticPr fontId="2" type="noConversion"/>
  </si>
  <si>
    <t xml:space="preserve">    - 성교육프로그램</t>
    <phoneticPr fontId="2" type="noConversion"/>
  </si>
  <si>
    <t xml:space="preserve">    - 기업릴레이션십(상패,행사 등)</t>
    <phoneticPr fontId="2" type="noConversion"/>
  </si>
  <si>
    <t xml:space="preserve">  3. 인스토어마케팅 계</t>
    <phoneticPr fontId="2" type="noConversion"/>
  </si>
  <si>
    <t xml:space="preserve">  4. 홍보채널관리 계</t>
    <phoneticPr fontId="2" type="noConversion"/>
  </si>
  <si>
    <t xml:space="preserve">  5. 재능기부Pool운영 계</t>
    <phoneticPr fontId="2" type="noConversion"/>
  </si>
  <si>
    <t xml:space="preserve">  6. 지역사회기반마케팅 계</t>
    <phoneticPr fontId="2" type="noConversion"/>
  </si>
  <si>
    <t xml:space="preserve">  7. 타포린 백제작</t>
    <phoneticPr fontId="2" type="noConversion"/>
  </si>
  <si>
    <t xml:space="preserve">    - 매장비닐(종량제봉투)</t>
    <phoneticPr fontId="2" type="noConversion"/>
  </si>
  <si>
    <t xml:space="preserve">  8. PE 봉투 인쇄</t>
    <phoneticPr fontId="2" type="noConversion"/>
  </si>
  <si>
    <t xml:space="preserve">  2. 회의 다과비 </t>
    <phoneticPr fontId="2" type="noConversion"/>
  </si>
  <si>
    <t>x</t>
    <phoneticPr fontId="2" type="noConversion"/>
  </si>
  <si>
    <t xml:space="preserve">  2. 야근/외근/토요근무</t>
    <phoneticPr fontId="2" type="noConversion"/>
  </si>
  <si>
    <t xml:space="preserve">    - 기타 직원 간식</t>
    <phoneticPr fontId="2" type="noConversion"/>
  </si>
  <si>
    <t>O 팀 운영비 소계</t>
    <phoneticPr fontId="2" type="noConversion"/>
  </si>
  <si>
    <t>O 의료비</t>
    <phoneticPr fontId="2" type="noConversion"/>
  </si>
  <si>
    <t>O 종무식 행사</t>
    <phoneticPr fontId="2" type="noConversion"/>
  </si>
  <si>
    <t xml:space="preserve">    - 셀프카페, 자판기 소모품</t>
    <phoneticPr fontId="2" type="noConversion"/>
  </si>
  <si>
    <t>*</t>
  </si>
  <si>
    <t>O 직원 회식 및 간식비</t>
    <phoneticPr fontId="2" type="noConversion"/>
  </si>
  <si>
    <t>예산총칙</t>
    <phoneticPr fontId="2" type="noConversion"/>
  </si>
  <si>
    <t>2020년 세입·세출예산 총괄표</t>
    <phoneticPr fontId="2" type="noConversion"/>
  </si>
  <si>
    <t>1132_셀프 카페 등</t>
    <phoneticPr fontId="2" type="noConversion"/>
  </si>
  <si>
    <t>근로직원은 시급으로 적용되어 평균적으로 30시간 이상이 안되어 9만원지원에 해당됨</t>
    <phoneticPr fontId="2" type="noConversion"/>
  </si>
  <si>
    <t xml:space="preserve">  2. 동아리 회비</t>
    <phoneticPr fontId="2" type="noConversion"/>
  </si>
  <si>
    <t xml:space="preserve">  3. 중식비(예수금(식대)</t>
    <phoneticPr fontId="2" type="noConversion"/>
  </si>
  <si>
    <t xml:space="preserve">    - 직업훈련</t>
    <phoneticPr fontId="2" type="noConversion"/>
  </si>
  <si>
    <t xml:space="preserve">    - 발달장애 성인 성교육</t>
    <phoneticPr fontId="2" type="noConversion"/>
  </si>
  <si>
    <t xml:space="preserve">    - 동아리(컬러링, 신우회, 체육,트레킹,영화,풋살)</t>
    <phoneticPr fontId="2" type="noConversion"/>
  </si>
  <si>
    <t xml:space="preserve">    - 외부 전문상담(마음쉼표)</t>
    <phoneticPr fontId="2" type="noConversion"/>
  </si>
  <si>
    <t xml:space="preserve">  1. 에어컨 실내기 분해청소</t>
    <phoneticPr fontId="2" type="noConversion"/>
  </si>
  <si>
    <t xml:space="preserve">  2. 정화조 노후 보수 작업</t>
    <phoneticPr fontId="2" type="noConversion"/>
  </si>
  <si>
    <t xml:space="preserve">  3. 시설물 유지관리</t>
    <phoneticPr fontId="2" type="noConversion"/>
  </si>
  <si>
    <t xml:space="preserve">  1. 창고 에어컨</t>
    <phoneticPr fontId="2" type="noConversion"/>
  </si>
  <si>
    <t xml:space="preserve">  4. 승강기 점검</t>
    <phoneticPr fontId="2" type="noConversion"/>
  </si>
  <si>
    <t>차액</t>
    <phoneticPr fontId="2" type="noConversion"/>
  </si>
  <si>
    <t xml:space="preserve">    - 세스코</t>
    <phoneticPr fontId="2" type="noConversion"/>
  </si>
  <si>
    <t>기획은???</t>
    <phoneticPr fontId="2" type="noConversion"/>
  </si>
  <si>
    <t xml:space="preserve">     총괄국장_18호</t>
    <phoneticPr fontId="2" type="noConversion"/>
  </si>
  <si>
    <t xml:space="preserve">  1. 대표(1급)_22호</t>
    <phoneticPr fontId="2" type="noConversion"/>
  </si>
  <si>
    <t xml:space="preserve">     대표(1급)_23호</t>
    <phoneticPr fontId="2" type="noConversion"/>
  </si>
  <si>
    <t xml:space="preserve">  3. 기획팀장(4급)_13호</t>
    <phoneticPr fontId="2" type="noConversion"/>
  </si>
  <si>
    <t xml:space="preserve">     기획팀장(4급)_14호</t>
    <phoneticPr fontId="2" type="noConversion"/>
  </si>
  <si>
    <t xml:space="preserve">  5. 물류팀장(4급)_17호</t>
    <phoneticPr fontId="2" type="noConversion"/>
  </si>
  <si>
    <t xml:space="preserve">     물류팀장(4급)_18호</t>
    <phoneticPr fontId="2" type="noConversion"/>
  </si>
  <si>
    <t xml:space="preserve">     물류담당(5급/대리)_10호</t>
    <phoneticPr fontId="2" type="noConversion"/>
  </si>
  <si>
    <t xml:space="preserve">  7. 후원담당(5급/대리)_7호</t>
    <phoneticPr fontId="2" type="noConversion"/>
  </si>
  <si>
    <t xml:space="preserve">     후원담당(5급/대리)_8호</t>
    <phoneticPr fontId="2" type="noConversion"/>
  </si>
  <si>
    <t xml:space="preserve">  10. 마케팅담당(5급)_10호</t>
    <phoneticPr fontId="2" type="noConversion"/>
  </si>
  <si>
    <t xml:space="preserve">      마케팅담당(5급)_11호</t>
    <phoneticPr fontId="2" type="noConversion"/>
  </si>
  <si>
    <t xml:space="preserve">  11. 영업담당(5급)_11호</t>
    <phoneticPr fontId="2" type="noConversion"/>
  </si>
  <si>
    <t xml:space="preserve">      영업담당(5급)_12호</t>
    <phoneticPr fontId="2" type="noConversion"/>
  </si>
  <si>
    <t xml:space="preserve">  12. 시설관리(6급/과장)_12호</t>
    <phoneticPr fontId="2" type="noConversion"/>
  </si>
  <si>
    <t xml:space="preserve">      시설관리(6급/과장)_13호</t>
    <phoneticPr fontId="2" type="noConversion"/>
  </si>
  <si>
    <t xml:space="preserve">  13. 재경담당(6급)_11호</t>
    <phoneticPr fontId="2" type="noConversion"/>
  </si>
  <si>
    <t xml:space="preserve">      재경담당(6급)_12호</t>
    <phoneticPr fontId="2" type="noConversion"/>
  </si>
  <si>
    <t xml:space="preserve">  5. 주차장 관리</t>
    <phoneticPr fontId="2" type="noConversion"/>
  </si>
  <si>
    <t xml:space="preserve">O </t>
    <phoneticPr fontId="2" type="noConversion"/>
  </si>
  <si>
    <t>02_보조금수입</t>
    <phoneticPr fontId="2" type="noConversion"/>
  </si>
  <si>
    <t>21_보조금수입</t>
    <phoneticPr fontId="2" type="noConversion"/>
  </si>
  <si>
    <t>211_시·도보조금수입</t>
    <phoneticPr fontId="2" type="noConversion"/>
  </si>
  <si>
    <t>2111_인건비</t>
    <phoneticPr fontId="2" type="noConversion"/>
  </si>
  <si>
    <t>2112_운영비</t>
    <phoneticPr fontId="2" type="noConversion"/>
  </si>
  <si>
    <t>212_기타보조금수입</t>
    <phoneticPr fontId="2" type="noConversion"/>
  </si>
  <si>
    <t>2112_일자리안정자금</t>
    <phoneticPr fontId="2" type="noConversion"/>
  </si>
  <si>
    <t>03_후원금수입</t>
    <phoneticPr fontId="2" type="noConversion"/>
  </si>
  <si>
    <t>31_후원금수입</t>
    <phoneticPr fontId="2" type="noConversion"/>
  </si>
  <si>
    <t>311_지정후원금수입</t>
    <phoneticPr fontId="2" type="noConversion"/>
  </si>
  <si>
    <t>04_전입금</t>
    <phoneticPr fontId="2" type="noConversion"/>
  </si>
  <si>
    <t>41_전입금</t>
    <phoneticPr fontId="2" type="noConversion"/>
  </si>
  <si>
    <t>411_법인전입금</t>
    <phoneticPr fontId="2" type="noConversion"/>
  </si>
  <si>
    <t>412_법인전입금 후원금</t>
    <phoneticPr fontId="2" type="noConversion"/>
  </si>
  <si>
    <t>4121_지정후원금</t>
    <phoneticPr fontId="2" type="noConversion"/>
  </si>
  <si>
    <t>4122_비지정후원금</t>
    <phoneticPr fontId="2" type="noConversion"/>
  </si>
  <si>
    <t>05_이월금</t>
    <phoneticPr fontId="2" type="noConversion"/>
  </si>
  <si>
    <t>51_이월금</t>
    <phoneticPr fontId="2" type="noConversion"/>
  </si>
  <si>
    <t>511_전년도이월금</t>
    <phoneticPr fontId="2" type="noConversion"/>
  </si>
  <si>
    <t>06_잡수입</t>
    <phoneticPr fontId="2" type="noConversion"/>
  </si>
  <si>
    <t>61_잡수입</t>
    <phoneticPr fontId="2" type="noConversion"/>
  </si>
  <si>
    <t>611_기타예금이자수입</t>
    <phoneticPr fontId="2" type="noConversion"/>
  </si>
  <si>
    <t>612_기타잡수입</t>
    <phoneticPr fontId="2" type="noConversion"/>
  </si>
  <si>
    <t>O 보조금 잔액 반납</t>
    <phoneticPr fontId="2" type="noConversion"/>
  </si>
  <si>
    <t>O 포장용역사업수입</t>
    <phoneticPr fontId="2" type="noConversion"/>
  </si>
  <si>
    <t xml:space="preserve">    - 네이버 검색광고비</t>
    <phoneticPr fontId="2" type="noConversion"/>
  </si>
  <si>
    <t xml:space="preserve">    - SNS 광고비</t>
    <phoneticPr fontId="2" type="noConversion"/>
  </si>
  <si>
    <t xml:space="preserve">    - 홈페이지 유지보수</t>
    <phoneticPr fontId="2" type="noConversion"/>
  </si>
  <si>
    <t xml:space="preserve">    - START PACK 제작</t>
    <phoneticPr fontId="2" type="noConversion"/>
  </si>
  <si>
    <t xml:space="preserve">    - 학교캠페인</t>
    <phoneticPr fontId="2" type="noConversion"/>
  </si>
  <si>
    <t xml:space="preserve">  2. 총괄국장(2급)_17호</t>
    <phoneticPr fontId="2" type="noConversion"/>
  </si>
  <si>
    <t>h=</t>
    <phoneticPr fontId="2" type="noConversion"/>
  </si>
  <si>
    <t xml:space="preserve">    - 홍보물제작(판촉물)</t>
    <phoneticPr fontId="2" type="noConversion"/>
  </si>
  <si>
    <t xml:space="preserve">  3. 자점포직원_6h</t>
    <phoneticPr fontId="2" type="noConversion"/>
  </si>
  <si>
    <t xml:space="preserve">  5. 자동문 점검, 교체(기증센터)</t>
    <phoneticPr fontId="2" type="noConversion"/>
  </si>
  <si>
    <t xml:space="preserve">  8. 기타 보수</t>
    <phoneticPr fontId="2" type="noConversion"/>
  </si>
  <si>
    <t>134_제세공과금</t>
    <phoneticPr fontId="2" type="noConversion"/>
  </si>
  <si>
    <t>1341_보험료</t>
    <phoneticPr fontId="2" type="noConversion"/>
  </si>
  <si>
    <t>1342_세금과공과금</t>
    <phoneticPr fontId="2" type="noConversion"/>
  </si>
  <si>
    <t>135_차량비</t>
    <phoneticPr fontId="2" type="noConversion"/>
  </si>
  <si>
    <t xml:space="preserve">  1. 기증상품(송파)</t>
    <phoneticPr fontId="2" type="noConversion"/>
  </si>
  <si>
    <t xml:space="preserve">  3. 매입상품</t>
    <phoneticPr fontId="2" type="noConversion"/>
  </si>
  <si>
    <t>[종사자급여합계]</t>
    <phoneticPr fontId="2" type="noConversion"/>
  </si>
  <si>
    <t>O 종사자 급여 계 &lt;보조금&gt;</t>
    <phoneticPr fontId="2" type="noConversion"/>
  </si>
  <si>
    <t>O 종사자 급여 계 &lt;사업비&gt;</t>
    <phoneticPr fontId="2" type="noConversion"/>
  </si>
  <si>
    <t>O 급여 계</t>
    <phoneticPr fontId="2" type="noConversion"/>
  </si>
  <si>
    <t>O 급여 계(자부담 종사자)</t>
    <phoneticPr fontId="2" type="noConversion"/>
  </si>
  <si>
    <t xml:space="preserve">    - 용역비 수수료(매거진 패킹 등)</t>
    <phoneticPr fontId="2" type="noConversion"/>
  </si>
  <si>
    <t xml:space="preserve">    - 청소용역료</t>
    <phoneticPr fontId="2" type="noConversion"/>
  </si>
  <si>
    <t xml:space="preserve">  6. 환경개선작업(내부 벽면,계단 등)</t>
    <phoneticPr fontId="2" type="noConversion"/>
  </si>
  <si>
    <t xml:space="preserve">  9. 시설 홍보 사인물 제작(서울케어)</t>
    <phoneticPr fontId="2" type="noConversion"/>
  </si>
  <si>
    <t>311_비지정후원금수입</t>
    <phoneticPr fontId="2" type="noConversion"/>
  </si>
  <si>
    <t>O 복지포인트(맞춤형)</t>
  </si>
  <si>
    <t>3113_사업비</t>
    <phoneticPr fontId="2" type="noConversion"/>
  </si>
  <si>
    <t>O 사업비 합계</t>
    <phoneticPr fontId="2" type="noConversion"/>
  </si>
  <si>
    <t xml:space="preserve"> 1.</t>
    <phoneticPr fontId="2" type="noConversion"/>
  </si>
  <si>
    <t xml:space="preserve">    - 기타 프로그램</t>
    <phoneticPr fontId="2" type="noConversion"/>
  </si>
  <si>
    <t xml:space="preserve">     후원담당(5급/대리)_11호</t>
  </si>
  <si>
    <t xml:space="preserve">      마케팅담당(5급)_16호</t>
  </si>
  <si>
    <t xml:space="preserve">      영업담당(5급)_14호</t>
  </si>
  <si>
    <t xml:space="preserve">      시설관리(6급/과장)_16호</t>
  </si>
  <si>
    <t xml:space="preserve">      재경담당(6급)_13호</t>
  </si>
  <si>
    <t xml:space="preserve">  2. 총괄국장(2급)_17호</t>
  </si>
  <si>
    <t xml:space="preserve">     총괄국장_18호</t>
  </si>
  <si>
    <t xml:space="preserve">  3. 기획팀장(4급)_13호</t>
  </si>
  <si>
    <t xml:space="preserve">     기획팀장(4급)_14호</t>
  </si>
  <si>
    <t xml:space="preserve">     영업팀장(3급)_18호</t>
  </si>
  <si>
    <t xml:space="preserve">  5. 물류팀장(4급)_17호</t>
  </si>
  <si>
    <t xml:space="preserve">     물류팀장(4급)_18호</t>
  </si>
  <si>
    <t xml:space="preserve">  6. 물류담당(5급/대리)_9호</t>
  </si>
  <si>
    <t xml:space="preserve">     물류담당(5급/대리)_10호</t>
  </si>
  <si>
    <t>613_부가세납부</t>
    <phoneticPr fontId="2" type="noConversion"/>
  </si>
  <si>
    <t xml:space="preserve">  1. 총괄국장(2급)_17호</t>
    <phoneticPr fontId="2" type="noConversion"/>
  </si>
  <si>
    <t xml:space="preserve">  2. 기획팀장(4급)_13호</t>
    <phoneticPr fontId="2" type="noConversion"/>
  </si>
  <si>
    <t xml:space="preserve">  3. 영업팀장(3급)_17호</t>
    <phoneticPr fontId="2" type="noConversion"/>
  </si>
  <si>
    <t xml:space="preserve">  4. 물류팀장(4급)_17호</t>
    <phoneticPr fontId="2" type="noConversion"/>
  </si>
  <si>
    <t xml:space="preserve">  5. 물류담당(5급/대리)_9호</t>
    <phoneticPr fontId="2" type="noConversion"/>
  </si>
  <si>
    <t xml:space="preserve">  6. 후원담당(5급/대리)_10호</t>
    <phoneticPr fontId="2" type="noConversion"/>
  </si>
  <si>
    <t xml:space="preserve">  7. 직업훈련(4급/대리)_13호</t>
    <phoneticPr fontId="2" type="noConversion"/>
  </si>
  <si>
    <t xml:space="preserve">  8. 인재개발담당(5급)_15호</t>
    <phoneticPr fontId="2" type="noConversion"/>
  </si>
  <si>
    <t xml:space="preserve">  9. 마케팅담당(5급)_15호</t>
    <phoneticPr fontId="2" type="noConversion"/>
  </si>
  <si>
    <t xml:space="preserve">  10. 영업담당(5급)_13호</t>
    <phoneticPr fontId="2" type="noConversion"/>
  </si>
  <si>
    <t xml:space="preserve">  11. 시설관리(6급/과장)_15호</t>
    <phoneticPr fontId="2" type="noConversion"/>
  </si>
  <si>
    <t xml:space="preserve">  12. 재경담당(6급)_12호</t>
    <phoneticPr fontId="2" type="noConversion"/>
  </si>
  <si>
    <t xml:space="preserve">     후원담당(5급/대리)_11호(자부담종사자)</t>
    <phoneticPr fontId="2" type="noConversion"/>
  </si>
  <si>
    <t xml:space="preserve">  13. 후원담당(5급/대리)_10호(자부담종사자)</t>
    <phoneticPr fontId="2" type="noConversion"/>
  </si>
  <si>
    <t>단위:원</t>
    <phoneticPr fontId="2" type="noConversion"/>
  </si>
  <si>
    <t>굿윌스토어 밀알 송파점 연장근무수당 산출내역</t>
    <phoneticPr fontId="2" type="noConversion"/>
  </si>
  <si>
    <t>122_직책보조비</t>
    <phoneticPr fontId="2" type="noConversion"/>
  </si>
  <si>
    <t xml:space="preserve">[업무추진비 합계] </t>
    <phoneticPr fontId="2" type="noConversion"/>
  </si>
  <si>
    <t xml:space="preserve">O 기관운영비 합계 </t>
    <phoneticPr fontId="2" type="noConversion"/>
  </si>
  <si>
    <t xml:space="preserve">O 직책보조비 합계 </t>
    <phoneticPr fontId="2" type="noConversion"/>
  </si>
  <si>
    <t xml:space="preserve">  1. 직책보조비</t>
    <phoneticPr fontId="2" type="noConversion"/>
  </si>
  <si>
    <t xml:space="preserve">  2. 홍보물 제작 계</t>
    <phoneticPr fontId="2" type="noConversion"/>
  </si>
  <si>
    <t xml:space="preserve">  1. 유관기관 및 업체 업무협의</t>
    <phoneticPr fontId="2" type="noConversion"/>
  </si>
  <si>
    <t xml:space="preserve">    - CMS월수수료</t>
    <phoneticPr fontId="2" type="noConversion"/>
  </si>
  <si>
    <t xml:space="preserve">    - CMS건별수수료</t>
    <phoneticPr fontId="2" type="noConversion"/>
  </si>
  <si>
    <t>건</t>
    <phoneticPr fontId="2" type="noConversion"/>
  </si>
  <si>
    <t>*추가</t>
    <phoneticPr fontId="2" type="noConversion"/>
  </si>
  <si>
    <t xml:space="preserve">  1. 개인 및 CMS후원금</t>
    <phoneticPr fontId="2" type="noConversion"/>
  </si>
  <si>
    <t xml:space="preserve">  2. 기업/단체</t>
    <phoneticPr fontId="2" type="noConversion"/>
  </si>
  <si>
    <t xml:space="preserve">  3. 기타행사 지원후원금</t>
    <phoneticPr fontId="2" type="noConversion"/>
  </si>
  <si>
    <t>O 비지정후원금수입 합계</t>
    <phoneticPr fontId="2" type="noConversion"/>
  </si>
  <si>
    <t>*CMS 비지정후원금으로 수정</t>
    <phoneticPr fontId="2" type="noConversion"/>
  </si>
  <si>
    <t xml:space="preserve">  4. 차량사고 보상비(교통비)</t>
    <phoneticPr fontId="2" type="noConversion"/>
  </si>
  <si>
    <t>O 복지포인트(맞춤형)(비장애 근로인)</t>
    <phoneticPr fontId="2" type="noConversion"/>
  </si>
  <si>
    <t xml:space="preserve">  - 영업(5명)</t>
    <phoneticPr fontId="2" type="noConversion"/>
  </si>
  <si>
    <t xml:space="preserve">    자점포수입</t>
    <phoneticPr fontId="2" type="noConversion"/>
  </si>
  <si>
    <t xml:space="preserve">    - 자점포 보증금(운영충당금)</t>
    <phoneticPr fontId="2" type="noConversion"/>
  </si>
  <si>
    <t xml:space="preserve">    - 창고임대 보증금(운영충당금)</t>
    <phoneticPr fontId="2" type="noConversion"/>
  </si>
  <si>
    <t xml:space="preserve">  2. 기증상품(자점포)</t>
    <phoneticPr fontId="2" type="noConversion"/>
  </si>
  <si>
    <t xml:space="preserve">  7. 기증센터 환경개선(내부 벽면 등)</t>
    <phoneticPr fontId="2" type="noConversion"/>
  </si>
  <si>
    <t>1343_부가세</t>
    <phoneticPr fontId="2" type="noConversion"/>
  </si>
  <si>
    <t xml:space="preserve">    - 창고 임대료</t>
    <phoneticPr fontId="2" type="noConversion"/>
  </si>
  <si>
    <t xml:space="preserve">  3. 택배비</t>
    <phoneticPr fontId="2" type="noConversion"/>
  </si>
  <si>
    <t xml:space="preserve">  8. 직업훈련(4급/대리)_10호</t>
  </si>
  <si>
    <t xml:space="preserve">  8. 직업훈련(4급/대리)_10호</t>
    <phoneticPr fontId="2" type="noConversion"/>
  </si>
  <si>
    <t xml:space="preserve">     직업훈련(4급/대리)_11호</t>
  </si>
  <si>
    <t xml:space="preserve">     직업훈련(4급/대리)_11호</t>
    <phoneticPr fontId="2" type="noConversion"/>
  </si>
  <si>
    <t xml:space="preserve">  12. 시설관리(6급/과장)_12호</t>
  </si>
  <si>
    <t xml:space="preserve">      시설관리(6급/과장)_13호</t>
  </si>
  <si>
    <t xml:space="preserve">  13. 재경담당(6급)_11호</t>
  </si>
  <si>
    <t xml:space="preserve">      재경담당(6급)_12호</t>
  </si>
  <si>
    <t xml:space="preserve">  14. 후원담당(5급/담당)_6호</t>
    <phoneticPr fontId="2" type="noConversion"/>
  </si>
  <si>
    <t xml:space="preserve">     후원담당(5급/담당)_7호</t>
    <phoneticPr fontId="2" type="noConversion"/>
  </si>
  <si>
    <t xml:space="preserve">  4. 영업팀장(3급)_16호</t>
  </si>
  <si>
    <t xml:space="preserve">  4. 영업팀장(3급)_16호</t>
    <phoneticPr fontId="2" type="noConversion"/>
  </si>
  <si>
    <t xml:space="preserve">     영업팀장(3급)_17호</t>
  </si>
  <si>
    <t xml:space="preserve">     영업팀장(3급)_17호</t>
    <phoneticPr fontId="2" type="noConversion"/>
  </si>
  <si>
    <t xml:space="preserve">  7. 후원담당(5급/대리)_7호</t>
  </si>
  <si>
    <t xml:space="preserve">     후원담당(5급/대리)_8호</t>
  </si>
  <si>
    <t xml:space="preserve">  9. 인재개발담당(5급)_8호</t>
  </si>
  <si>
    <t xml:space="preserve">  10. 마케팅담당(5급)_10호</t>
  </si>
  <si>
    <t xml:space="preserve">      마케팅담당(5급)_11호</t>
  </si>
  <si>
    <t xml:space="preserve">  11. 영업담당(5급)_11호</t>
  </si>
  <si>
    <t xml:space="preserve">      영업담당(5급)_12호</t>
  </si>
  <si>
    <t xml:space="preserve">  1. 대표(1급)_22호</t>
  </si>
  <si>
    <t xml:space="preserve">     대표(1급)_23호</t>
  </si>
  <si>
    <t xml:space="preserve">    - 생일파티(선물포함)</t>
    <phoneticPr fontId="2" type="noConversion"/>
  </si>
  <si>
    <t xml:space="preserve">    - 노래교실(연말 노래자랑 포함)</t>
    <phoneticPr fontId="2" type="noConversion"/>
  </si>
  <si>
    <t xml:space="preserve">  2. 일자리안정자금(일반)</t>
    <phoneticPr fontId="2" type="noConversion"/>
  </si>
  <si>
    <t xml:space="preserve">  - 물류(8명)</t>
    <phoneticPr fontId="2" type="noConversion"/>
  </si>
  <si>
    <t xml:space="preserve">  - 기획관리(12명)</t>
    <phoneticPr fontId="2" type="noConversion"/>
  </si>
  <si>
    <t>O 유니폼제작</t>
    <phoneticPr fontId="2" type="noConversion"/>
  </si>
  <si>
    <t>O 주년행사</t>
    <phoneticPr fontId="2" type="noConversion"/>
  </si>
  <si>
    <t xml:space="preserve">  2. 건물개보수 공사(외벽공사)(운영충당금)</t>
    <phoneticPr fontId="2" type="noConversion"/>
  </si>
  <si>
    <t xml:space="preserve">  1. 냉동고 설치</t>
    <phoneticPr fontId="2" type="noConversion"/>
  </si>
  <si>
    <t xml:space="preserve">    - 중개수수료(자점포,창고)</t>
    <phoneticPr fontId="2" type="noConversion"/>
  </si>
  <si>
    <t xml:space="preserve">  4. 미국 굿윌 연수</t>
    <phoneticPr fontId="2" type="noConversion"/>
  </si>
  <si>
    <t xml:space="preserve">  5. 인권/개인정보/성교육</t>
    <phoneticPr fontId="2" type="noConversion"/>
  </si>
  <si>
    <t xml:space="preserve">  4. 선임급(수당)</t>
    <phoneticPr fontId="2" type="noConversion"/>
  </si>
  <si>
    <t>남궁규</t>
    <phoneticPr fontId="2" type="noConversion"/>
  </si>
  <si>
    <t>김수정</t>
    <phoneticPr fontId="2" type="noConversion"/>
  </si>
  <si>
    <t>이미애</t>
    <phoneticPr fontId="2" type="noConversion"/>
  </si>
  <si>
    <t>허경태</t>
    <phoneticPr fontId="2" type="noConversion"/>
  </si>
  <si>
    <t>신재형</t>
    <phoneticPr fontId="2" type="noConversion"/>
  </si>
  <si>
    <t>양지형</t>
    <phoneticPr fontId="2" type="noConversion"/>
  </si>
  <si>
    <t>전예지</t>
    <phoneticPr fontId="2" type="noConversion"/>
  </si>
  <si>
    <t>남승현</t>
    <phoneticPr fontId="2" type="noConversion"/>
  </si>
  <si>
    <t>허익</t>
    <phoneticPr fontId="2" type="noConversion"/>
  </si>
  <si>
    <t>원영재</t>
    <phoneticPr fontId="2" type="noConversion"/>
  </si>
  <si>
    <t>김연택</t>
    <phoneticPr fontId="2" type="noConversion"/>
  </si>
  <si>
    <t>송주아</t>
    <phoneticPr fontId="2" type="noConversion"/>
  </si>
  <si>
    <t>최나실</t>
    <phoneticPr fontId="2" type="noConversion"/>
  </si>
  <si>
    <t>이승환</t>
    <phoneticPr fontId="2" type="noConversion"/>
  </si>
  <si>
    <t>퇴사</t>
    <phoneticPr fontId="2" type="noConversion"/>
  </si>
  <si>
    <t>o</t>
    <phoneticPr fontId="2" type="noConversion"/>
  </si>
  <si>
    <t>없음</t>
    <phoneticPr fontId="2" type="noConversion"/>
  </si>
  <si>
    <t>충당금사용</t>
    <phoneticPr fontId="2" type="noConversion"/>
  </si>
  <si>
    <t xml:space="preserve">  3. 자점포 인테리어(운영충당금)</t>
    <phoneticPr fontId="2" type="noConversion"/>
  </si>
  <si>
    <t xml:space="preserve">    - 중식비 지원(자원봉사자)</t>
    <phoneticPr fontId="2" type="noConversion"/>
  </si>
  <si>
    <t xml:space="preserve">  2. 자점포 집기 구입(운영충당금)</t>
    <phoneticPr fontId="2" type="noConversion"/>
  </si>
  <si>
    <t xml:space="preserve">  3. 수거차량 구입(운영충당금)</t>
    <phoneticPr fontId="2" type="noConversion"/>
  </si>
  <si>
    <t xml:space="preserve">  4. 기타장비구입</t>
    <phoneticPr fontId="2" type="noConversion"/>
  </si>
  <si>
    <t xml:space="preserve">  5. 기증자관리 프로그램 구축(운영충당금)</t>
    <phoneticPr fontId="2" type="noConversion"/>
  </si>
  <si>
    <t xml:space="preserve">    - 신규기증자 소개 이벤트 쿠폰 발송</t>
    <phoneticPr fontId="2" type="noConversion"/>
  </si>
  <si>
    <t xml:space="preserve">  10. 기타인쇄(도서,편집제본 등)</t>
    <phoneticPr fontId="2" type="noConversion"/>
  </si>
  <si>
    <t>O 국민연금부담금 계</t>
    <phoneticPr fontId="2" type="noConversion"/>
  </si>
  <si>
    <t xml:space="preserve">  1. 근로인_리더</t>
    <phoneticPr fontId="2" type="noConversion"/>
  </si>
  <si>
    <t>26</t>
    <phoneticPr fontId="2" type="noConversion"/>
  </si>
  <si>
    <t>O 직원 중식비 지원 회사부담경비</t>
    <phoneticPr fontId="2" type="noConversion"/>
  </si>
  <si>
    <t>O 직원 중식비 회사부담경비</t>
    <phoneticPr fontId="2" type="noConversion"/>
  </si>
  <si>
    <t xml:space="preserve">  4. 기타 시설비(시설물설치 등)</t>
    <phoneticPr fontId="2" type="noConversion"/>
  </si>
  <si>
    <t xml:space="preserve">   - 19/12/31 시재, 현금매출</t>
    <phoneticPr fontId="2" type="noConversion"/>
  </si>
  <si>
    <t>원</t>
    <phoneticPr fontId="2" type="noConversion"/>
  </si>
  <si>
    <t>별도</t>
    <phoneticPr fontId="2" type="noConversion"/>
  </si>
  <si>
    <t>1분기</t>
    <phoneticPr fontId="2" type="noConversion"/>
  </si>
  <si>
    <t>2분기</t>
  </si>
  <si>
    <t>3분기</t>
  </si>
  <si>
    <t>4분기</t>
  </si>
  <si>
    <t>포함</t>
    <phoneticPr fontId="2" type="noConversion"/>
  </si>
  <si>
    <t>추정사업수입(수정)</t>
    <phoneticPr fontId="2" type="noConversion"/>
  </si>
  <si>
    <t>(명동)</t>
    <phoneticPr fontId="2" type="noConversion"/>
  </si>
  <si>
    <t>감소액</t>
    <phoneticPr fontId="2" type="noConversion"/>
  </si>
  <si>
    <t>스토어</t>
    <phoneticPr fontId="2" type="noConversion"/>
  </si>
  <si>
    <t>계획</t>
    <phoneticPr fontId="2" type="noConversion"/>
  </si>
  <si>
    <t>에프터마켓 추정수입(수정)</t>
    <phoneticPr fontId="2" type="noConversion"/>
  </si>
  <si>
    <t>커머셜(용역) 추정수입(수정)</t>
    <phoneticPr fontId="2" type="noConversion"/>
  </si>
  <si>
    <t>2020년 
2차추경
(B)</t>
    <phoneticPr fontId="2" type="noConversion"/>
  </si>
  <si>
    <t>2020년 
1차추경
(A)</t>
    <phoneticPr fontId="2" type="noConversion"/>
  </si>
  <si>
    <r>
      <t>2020년 2차 추경
세입</t>
    </r>
    <r>
      <rPr>
        <sz val="30"/>
        <rFont val="MS PMincho"/>
        <family val="1"/>
        <charset val="128"/>
      </rPr>
      <t>･</t>
    </r>
    <r>
      <rPr>
        <sz val="30"/>
        <rFont val="HY견고딕"/>
        <family val="1"/>
        <charset val="129"/>
      </rPr>
      <t>세출예산서</t>
    </r>
    <phoneticPr fontId="2" type="noConversion"/>
  </si>
  <si>
    <t xml:space="preserve">  5. 법인카드 포인트 환급금</t>
    <phoneticPr fontId="2" type="noConversion"/>
  </si>
  <si>
    <t xml:space="preserve">  6. 각종 환급금</t>
    <phoneticPr fontId="2" type="noConversion"/>
  </si>
  <si>
    <t xml:space="preserve">  1. 일자리안정자금</t>
    <phoneticPr fontId="2" type="noConversion"/>
  </si>
  <si>
    <t xml:space="preserve">     장애인수가중지원(4분기추가)</t>
    <phoneticPr fontId="2" type="noConversion"/>
  </si>
  <si>
    <t xml:space="preserve">    - 전기안전관리대행</t>
    <phoneticPr fontId="2" type="noConversion"/>
  </si>
  <si>
    <t>제164차 법인이사회(2020.11.24)</t>
    <phoneticPr fontId="2" type="noConversion"/>
  </si>
  <si>
    <t>[2차 추경_2020.11.24]</t>
    <phoneticPr fontId="2" type="noConversion"/>
  </si>
  <si>
    <t>1인당 금액 정확히 정하고 횟수 재확정</t>
    <phoneticPr fontId="2" type="noConversion"/>
  </si>
  <si>
    <t>법인에 확인(3,000천원) 사용 금액</t>
    <phoneticPr fontId="2" type="noConversion"/>
  </si>
  <si>
    <t>도급차량 하이패스 확인</t>
    <phoneticPr fontId="2" type="noConversion"/>
  </si>
  <si>
    <t>확인필요</t>
    <phoneticPr fontId="2" type="noConversion"/>
  </si>
  <si>
    <t>내년 150,000천원으로 리뉴얼 금액 계획잡기</t>
    <phoneticPr fontId="2" type="noConversion"/>
  </si>
  <si>
    <t>4분기 마스크 매입, 의류 매입 추가분 있음 비용 증액</t>
    <phoneticPr fontId="2" type="noConversion"/>
  </si>
  <si>
    <t>한달 20만원씩 1번? 2번? 확인</t>
    <phoneticPr fontId="2" type="noConversion"/>
  </si>
  <si>
    <t>2021년에 예산 증액 기증봉투 한장당 300원(친환경재생봉투)</t>
    <phoneticPr fontId="2" type="noConversion"/>
  </si>
  <si>
    <t xml:space="preserve">    - 매장 행사 매대 임대료</t>
    <phoneticPr fontId="2" type="noConversion"/>
  </si>
  <si>
    <t>김미화</t>
    <phoneticPr fontId="2" type="noConversion"/>
  </si>
  <si>
    <t>김영갑</t>
    <phoneticPr fontId="2" type="noConversion"/>
  </si>
  <si>
    <t>박희망2호봉</t>
    <phoneticPr fontId="2" type="noConversion"/>
  </si>
  <si>
    <t>직업훈련교사</t>
    <phoneticPr fontId="2" type="noConversion"/>
  </si>
  <si>
    <t>선임</t>
    <phoneticPr fontId="2" type="noConversion"/>
  </si>
  <si>
    <t>생산및판매관리기사</t>
    <phoneticPr fontId="2" type="noConversion"/>
  </si>
  <si>
    <t>김태환 5호봉</t>
  </si>
  <si>
    <t>시설관리기사</t>
    <phoneticPr fontId="2" type="noConversion"/>
  </si>
  <si>
    <t>사무원</t>
    <phoneticPr fontId="2" type="noConversion"/>
  </si>
  <si>
    <t>배경호5호봉</t>
    <phoneticPr fontId="2" type="noConversion"/>
  </si>
  <si>
    <t>[비장애 근로인 급여 합계]</t>
    <phoneticPr fontId="2" type="noConversion"/>
  </si>
  <si>
    <t>O 장애직원 계</t>
    <phoneticPr fontId="2" type="noConversion"/>
  </si>
  <si>
    <t>단가(원)</t>
    <phoneticPr fontId="2" type="noConversion"/>
  </si>
  <si>
    <t>시간</t>
    <phoneticPr fontId="2" type="noConversion"/>
  </si>
  <si>
    <t>명</t>
    <phoneticPr fontId="2" type="noConversion"/>
  </si>
  <si>
    <t>월수</t>
    <phoneticPr fontId="2" type="noConversion"/>
  </si>
  <si>
    <t xml:space="preserve">  1. 선임급_8h</t>
    <phoneticPr fontId="2" type="noConversion"/>
  </si>
  <si>
    <t>월=</t>
    <phoneticPr fontId="2" type="noConversion"/>
  </si>
  <si>
    <t xml:space="preserve">  2. 최저임금_6h</t>
    <phoneticPr fontId="2" type="noConversion"/>
  </si>
  <si>
    <t>월=</t>
    <phoneticPr fontId="2" type="noConversion"/>
  </si>
  <si>
    <t xml:space="preserve">  3. 최저이하_6h</t>
    <phoneticPr fontId="2" type="noConversion"/>
  </si>
  <si>
    <t>원×</t>
    <phoneticPr fontId="2" type="noConversion"/>
  </si>
  <si>
    <t>명×</t>
    <phoneticPr fontId="2" type="noConversion"/>
  </si>
  <si>
    <t>O 비장애직원 계</t>
    <phoneticPr fontId="2" type="noConversion"/>
  </si>
  <si>
    <t>단가(원)</t>
    <phoneticPr fontId="2" type="noConversion"/>
  </si>
  <si>
    <t>시간</t>
    <phoneticPr fontId="2" type="noConversion"/>
  </si>
  <si>
    <t>명</t>
    <phoneticPr fontId="2" type="noConversion"/>
  </si>
  <si>
    <t>월수</t>
    <phoneticPr fontId="2" type="noConversion"/>
  </si>
  <si>
    <t xml:space="preserve">  1. 리더급(A)_8h</t>
    <phoneticPr fontId="2" type="noConversion"/>
  </si>
  <si>
    <t>월=</t>
    <phoneticPr fontId="2" type="noConversion"/>
  </si>
  <si>
    <t xml:space="preserve">     리더급(B)_8h</t>
    <phoneticPr fontId="2" type="noConversion"/>
  </si>
  <si>
    <t xml:space="preserve">     리더급(C)_8h</t>
    <phoneticPr fontId="2" type="noConversion"/>
  </si>
  <si>
    <t xml:space="preserve">  2. 자점포 직원_8h</t>
    <phoneticPr fontId="2" type="noConversion"/>
  </si>
  <si>
    <t>원×</t>
    <phoneticPr fontId="2" type="noConversion"/>
  </si>
  <si>
    <t>명×</t>
    <phoneticPr fontId="2" type="noConversion"/>
  </si>
  <si>
    <t xml:space="preserve">  3. 책임수당(용역)</t>
    <phoneticPr fontId="2" type="noConversion"/>
  </si>
  <si>
    <t xml:space="preserve">  4. 운전수당(수거담당)</t>
    <phoneticPr fontId="2" type="noConversion"/>
  </si>
  <si>
    <t>[종사자제수당 합계]</t>
    <phoneticPr fontId="2" type="noConversion"/>
  </si>
  <si>
    <t>&lt;제수당 보조금 계&gt;</t>
    <phoneticPr fontId="2" type="noConversion"/>
  </si>
  <si>
    <t>&lt;제수당 사업비 계&gt;(명절/가족수당/시간외)</t>
    <phoneticPr fontId="2" type="noConversion"/>
  </si>
  <si>
    <t>&lt;제수당 법인전입금 계&gt;(시간외/조정수당)</t>
    <phoneticPr fontId="2" type="noConversion"/>
  </si>
  <si>
    <t>O 가족수당 계 &lt;보조금 &gt;</t>
    <phoneticPr fontId="2" type="noConversion"/>
  </si>
  <si>
    <t>O 가족수당 계 &lt;사업비 &gt;</t>
    <phoneticPr fontId="2" type="noConversion"/>
  </si>
  <si>
    <t>O 가족수당 계</t>
    <phoneticPr fontId="2" type="noConversion"/>
  </si>
  <si>
    <t xml:space="preserve">  1. 대표</t>
    <phoneticPr fontId="2" type="noConversion"/>
  </si>
  <si>
    <t>원×</t>
    <phoneticPr fontId="2" type="noConversion"/>
  </si>
  <si>
    <t>1</t>
    <phoneticPr fontId="2" type="noConversion"/>
  </si>
  <si>
    <t>명×</t>
    <phoneticPr fontId="2" type="noConversion"/>
  </si>
  <si>
    <t>월=</t>
    <phoneticPr fontId="2" type="noConversion"/>
  </si>
  <si>
    <t xml:space="preserve">  2. 총괄국장</t>
    <phoneticPr fontId="2" type="noConversion"/>
  </si>
  <si>
    <t xml:space="preserve">  3. 기획팀장</t>
    <phoneticPr fontId="2" type="noConversion"/>
  </si>
  <si>
    <t xml:space="preserve">  4. 영업팀장</t>
    <phoneticPr fontId="2" type="noConversion"/>
  </si>
  <si>
    <t xml:space="preserve">  5. 물류팀장</t>
    <phoneticPr fontId="2" type="noConversion"/>
  </si>
  <si>
    <t xml:space="preserve">  6. 물류담당</t>
    <phoneticPr fontId="2" type="noConversion"/>
  </si>
  <si>
    <t xml:space="preserve">  7. 인재개발담당</t>
    <phoneticPr fontId="2" type="noConversion"/>
  </si>
  <si>
    <t>1</t>
    <phoneticPr fontId="2" type="noConversion"/>
  </si>
  <si>
    <t xml:space="preserve">  8. 영업담당</t>
    <phoneticPr fontId="2" type="noConversion"/>
  </si>
  <si>
    <t xml:space="preserve">  9. 직업재활담당</t>
    <phoneticPr fontId="2" type="noConversion"/>
  </si>
  <si>
    <t xml:space="preserve">  10. 재경담당</t>
    <phoneticPr fontId="2" type="noConversion"/>
  </si>
  <si>
    <t xml:space="preserve">  11. 개인후원담당(사업비)</t>
    <phoneticPr fontId="2" type="noConversion"/>
  </si>
  <si>
    <t>O 연장근로수당 계(보조금)</t>
    <phoneticPr fontId="2" type="noConversion"/>
  </si>
  <si>
    <t>O 연장근로수당 계(사업비)</t>
    <phoneticPr fontId="2" type="noConversion"/>
  </si>
  <si>
    <t>O 연장근로수당 계(법인전입금)</t>
    <phoneticPr fontId="2" type="noConversion"/>
  </si>
  <si>
    <t>O 연장근로수당 계</t>
    <phoneticPr fontId="2" type="noConversion"/>
  </si>
  <si>
    <t>h×</t>
    <phoneticPr fontId="2" type="noConversion"/>
  </si>
  <si>
    <t xml:space="preserve">     총괄국장(2급)_18호</t>
    <phoneticPr fontId="2" type="noConversion"/>
  </si>
  <si>
    <t xml:space="preserve">  14. 후원담당(5급/대리)_6호(사업비)</t>
    <phoneticPr fontId="2" type="noConversion"/>
  </si>
  <si>
    <t xml:space="preserve">     후원담당(5급/대리)_7호(사업비)</t>
    <phoneticPr fontId="2" type="noConversion"/>
  </si>
  <si>
    <t>O 연장근로수당 계(법인전입금(비지정 후원금)</t>
    <phoneticPr fontId="2" type="noConversion"/>
  </si>
  <si>
    <t>O 명절휴가비 계(보조금)</t>
    <phoneticPr fontId="2" type="noConversion"/>
  </si>
  <si>
    <t>O 명절휴가비 계(사업비)</t>
    <phoneticPr fontId="2" type="noConversion"/>
  </si>
  <si>
    <t>0.6</t>
    <phoneticPr fontId="2" type="noConversion"/>
  </si>
  <si>
    <t>회=</t>
    <phoneticPr fontId="2" type="noConversion"/>
  </si>
  <si>
    <t xml:space="preserve">  14. 후원담당(5급/담당)_6호(사업비)</t>
    <phoneticPr fontId="2" type="noConversion"/>
  </si>
  <si>
    <t xml:space="preserve">     후원담당(5급/담당)_7호(사업비)</t>
    <phoneticPr fontId="2" type="noConversion"/>
  </si>
  <si>
    <t>O 정액급식비(보조금)</t>
    <phoneticPr fontId="2" type="noConversion"/>
  </si>
  <si>
    <t>O 정액급식비(자부담)</t>
    <phoneticPr fontId="2" type="noConversion"/>
  </si>
  <si>
    <t>O 관리자수당</t>
    <phoneticPr fontId="2" type="noConversion"/>
  </si>
  <si>
    <t>&lt;법인전입금 계&gt;</t>
    <phoneticPr fontId="2" type="noConversion"/>
  </si>
  <si>
    <t>O 조정수당 계(법인전입금)</t>
    <phoneticPr fontId="2" type="noConversion"/>
  </si>
  <si>
    <t xml:space="preserve">  1. 총괄국장</t>
    <phoneticPr fontId="2" type="noConversion"/>
  </si>
  <si>
    <t>1</t>
    <phoneticPr fontId="2" type="noConversion"/>
  </si>
  <si>
    <t xml:space="preserve">  2. 영업팀장(법인)</t>
    <phoneticPr fontId="2" type="noConversion"/>
  </si>
  <si>
    <t xml:space="preserve">  3. 물류팀장(법인)</t>
    <phoneticPr fontId="2" type="noConversion"/>
  </si>
  <si>
    <t>O 직책(직위)수당 계(법인전입금)</t>
    <phoneticPr fontId="2" type="noConversion"/>
  </si>
  <si>
    <t xml:space="preserve">  1. 대표</t>
    <phoneticPr fontId="2" type="noConversion"/>
  </si>
  <si>
    <t xml:space="preserve">  2. 총괄국장</t>
    <phoneticPr fontId="2" type="noConversion"/>
  </si>
  <si>
    <t xml:space="preserve">  3. 팀장</t>
    <phoneticPr fontId="2" type="noConversion"/>
  </si>
  <si>
    <t>3</t>
    <phoneticPr fontId="2" type="noConversion"/>
  </si>
  <si>
    <t>O 기타수당 계(법인전입금)</t>
    <phoneticPr fontId="2" type="noConversion"/>
  </si>
  <si>
    <t xml:space="preserve">  1. 회계수당(재경담당)</t>
    <phoneticPr fontId="2" type="noConversion"/>
  </si>
  <si>
    <t>O 연장근로수당 계(법인전입금)</t>
    <phoneticPr fontId="2" type="noConversion"/>
  </si>
  <si>
    <t xml:space="preserve">  2. 총괄국장(3급)_6호</t>
    <phoneticPr fontId="2" type="noConversion"/>
  </si>
  <si>
    <t>10</t>
    <phoneticPr fontId="2" type="noConversion"/>
  </si>
  <si>
    <t>h×</t>
    <phoneticPr fontId="2" type="noConversion"/>
  </si>
  <si>
    <t xml:space="preserve">     총괄국장_7호</t>
    <phoneticPr fontId="2" type="noConversion"/>
  </si>
  <si>
    <t xml:space="preserve">  3. 기획팀장(4급)_11호</t>
    <phoneticPr fontId="2" type="noConversion"/>
  </si>
  <si>
    <t xml:space="preserve">     기획팀장(4급)_12호</t>
    <phoneticPr fontId="2" type="noConversion"/>
  </si>
  <si>
    <t xml:space="preserve">  4. 영업팀장(4급)_14호</t>
    <phoneticPr fontId="2" type="noConversion"/>
  </si>
  <si>
    <t xml:space="preserve">     영업팀장(4급)_15호</t>
    <phoneticPr fontId="2" type="noConversion"/>
  </si>
  <si>
    <t xml:space="preserve">  5. 물류팀장(4급)_15호</t>
    <phoneticPr fontId="2" type="noConversion"/>
  </si>
  <si>
    <t xml:space="preserve">     물류팀장(4급)_16호</t>
    <phoneticPr fontId="2" type="noConversion"/>
  </si>
  <si>
    <t xml:space="preserve">  6. 물류담당(5급/대리)_9호</t>
    <phoneticPr fontId="2" type="noConversion"/>
  </si>
  <si>
    <t xml:space="preserve">  7. 후원담당(5급/대리)_6호</t>
    <phoneticPr fontId="2" type="noConversion"/>
  </si>
  <si>
    <t xml:space="preserve">  8. 직업훈련(5급/대리)_9호</t>
    <phoneticPr fontId="2" type="noConversion"/>
  </si>
  <si>
    <t xml:space="preserve">  9. 인재개발담당(5급)_8호</t>
    <phoneticPr fontId="2" type="noConversion"/>
  </si>
  <si>
    <t xml:space="preserve">     인재개발담당(5급)_9호</t>
    <phoneticPr fontId="2" type="noConversion"/>
  </si>
  <si>
    <t xml:space="preserve">  10. 마케팅담당(5급)_7호</t>
    <phoneticPr fontId="2" type="noConversion"/>
  </si>
  <si>
    <t xml:space="preserve">      마케팅담당(5급)_8호</t>
    <phoneticPr fontId="2" type="noConversion"/>
  </si>
  <si>
    <t xml:space="preserve">  11. 영업담당(5급)_7호</t>
    <phoneticPr fontId="2" type="noConversion"/>
  </si>
  <si>
    <t xml:space="preserve">      영업담당(5급)_8호</t>
    <phoneticPr fontId="2" type="noConversion"/>
  </si>
  <si>
    <t xml:space="preserve">  12. 시설관리(6급/과장)_10호</t>
    <phoneticPr fontId="2" type="noConversion"/>
  </si>
  <si>
    <t xml:space="preserve">      시설관리(6급/과장)_11호</t>
    <phoneticPr fontId="2" type="noConversion"/>
  </si>
  <si>
    <t xml:space="preserve">  13. 재경담당(6급)_10호</t>
    <phoneticPr fontId="2" type="noConversion"/>
  </si>
  <si>
    <t xml:space="preserve">      재경담당(6급)_11호</t>
    <phoneticPr fontId="2" type="noConversion"/>
  </si>
  <si>
    <t>O 복리후생비(법인전입금)</t>
    <phoneticPr fontId="2" type="noConversion"/>
  </si>
  <si>
    <t>13</t>
    <phoneticPr fontId="2" type="noConversion"/>
  </si>
  <si>
    <t>5</t>
    <phoneticPr fontId="2" type="noConversion"/>
  </si>
  <si>
    <t xml:space="preserve">  1. 통신비 계</t>
    <phoneticPr fontId="2" type="noConversion"/>
  </si>
  <si>
    <t xml:space="preserve">    - 전화/인터넷사용료</t>
    <phoneticPr fontId="2" type="noConversion"/>
  </si>
  <si>
    <t>원</t>
    <phoneticPr fontId="2" type="noConversion"/>
  </si>
  <si>
    <t>월</t>
    <phoneticPr fontId="2" type="noConversion"/>
  </si>
  <si>
    <t>=</t>
    <phoneticPr fontId="2" type="noConversion"/>
  </si>
  <si>
    <t xml:space="preserve">    - 휴대용법인폰</t>
    <phoneticPr fontId="2" type="noConversion"/>
  </si>
  <si>
    <t xml:space="preserve">    - 승강기유선전화</t>
    <phoneticPr fontId="2" type="noConversion"/>
  </si>
  <si>
    <t xml:space="preserve">  2. 우편요금 계</t>
    <phoneticPr fontId="2" type="noConversion"/>
  </si>
  <si>
    <t xml:space="preserve">    - 매거진/DM발송/카드/기증봉투 등</t>
    <phoneticPr fontId="2" type="noConversion"/>
  </si>
  <si>
    <t>회</t>
    <phoneticPr fontId="2" type="noConversion"/>
  </si>
  <si>
    <t xml:space="preserve">    - 일반우편발송</t>
    <phoneticPr fontId="2" type="noConversion"/>
  </si>
  <si>
    <t xml:space="preserve">  1. 보험료 계</t>
    <phoneticPr fontId="2" type="noConversion"/>
  </si>
  <si>
    <t xml:space="preserve">    - 민간위탁이행보증보험</t>
    <phoneticPr fontId="2" type="noConversion"/>
  </si>
  <si>
    <t xml:space="preserve">    - 자동차보험료</t>
    <phoneticPr fontId="2" type="noConversion"/>
  </si>
  <si>
    <t>대</t>
    <phoneticPr fontId="2" type="noConversion"/>
  </si>
  <si>
    <t xml:space="preserve">    - 회계업부관련보증보험</t>
    <phoneticPr fontId="2" type="noConversion"/>
  </si>
  <si>
    <t>명</t>
    <phoneticPr fontId="2" type="noConversion"/>
  </si>
  <si>
    <t xml:space="preserve">    - 여행자/상해보험</t>
    <phoneticPr fontId="2" type="noConversion"/>
  </si>
  <si>
    <t xml:space="preserve">    - 보조공학기보증보험 등</t>
    <phoneticPr fontId="2" type="noConversion"/>
  </si>
  <si>
    <t xml:space="preserve">    - 기타보험료</t>
    <phoneticPr fontId="2" type="noConversion"/>
  </si>
  <si>
    <t>2</t>
    <phoneticPr fontId="2" type="noConversion"/>
  </si>
  <si>
    <t xml:space="preserve">  1. 2019년 외부회계감사 관련 보조금 사용분 매입공제액 부가세</t>
    <phoneticPr fontId="2" type="noConversion"/>
  </si>
  <si>
    <t xml:space="preserve">  1. 팀별회의비</t>
    <phoneticPr fontId="2" type="noConversion"/>
  </si>
  <si>
    <t xml:space="preserve">    - 시설관리보험(11월)</t>
    <phoneticPr fontId="2" type="noConversion"/>
  </si>
  <si>
    <t>1. 조정수당 관련</t>
    <phoneticPr fontId="2" type="noConversion"/>
  </si>
  <si>
    <t>2. 지도점검 관련 환수금액 보전</t>
    <phoneticPr fontId="2" type="noConversion"/>
  </si>
  <si>
    <t>3. 기타후생경비</t>
    <phoneticPr fontId="2" type="noConversion"/>
  </si>
  <si>
    <t>4. 업무추진비</t>
    <phoneticPr fontId="2" type="noConversion"/>
  </si>
  <si>
    <t>2020년 
2차 추경(B)</t>
    <phoneticPr fontId="2" type="noConversion"/>
  </si>
  <si>
    <t>2020년 
1차 추경(A)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</si>
</sst>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0_ "/>
    <numFmt numFmtId="177" formatCode="#,###,"/>
    <numFmt numFmtId="178" formatCode="#,###"/>
    <numFmt numFmtId="179" formatCode="_-* #,##0_-;\-* #,##0_-;_-* &quot;-&quot;??_-;_-@_-"/>
    <numFmt numFmtId="180" formatCode="#,##0,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indexed="61"/>
      <name val="맑은 고딕"/>
      <family val="3"/>
      <charset val="129"/>
      <scheme val="minor"/>
    </font>
    <font>
      <sz val="9"/>
      <color indexed="17"/>
      <name val="맑은 고딕"/>
      <family val="3"/>
      <charset val="129"/>
      <scheme val="minor"/>
    </font>
    <font>
      <sz val="9"/>
      <color indexed="12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9"/>
      <color indexed="6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rgb="FF0070C0"/>
      <name val="맑은 고딕"/>
      <family val="3"/>
      <charset val="129"/>
      <scheme val="minor"/>
    </font>
    <font>
      <sz val="30"/>
      <name val="HY견고딕"/>
      <family val="1"/>
      <charset val="129"/>
    </font>
    <font>
      <b/>
      <sz val="18"/>
      <name val="맑은 고딕"/>
      <family val="3"/>
      <charset val="129"/>
      <scheme val="minor"/>
    </font>
    <font>
      <b/>
      <sz val="11.7"/>
      <color theme="1" tint="0.499984740745262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7"/>
      <color rgb="FF0070C0"/>
      <name val="맑은 고딕"/>
      <family val="3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sz val="30"/>
      <name val="MS PMincho"/>
      <family val="1"/>
      <charset val="128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name val="돋움"/>
      <family val="3"/>
      <charset val="129"/>
    </font>
    <font>
      <b/>
      <sz val="6"/>
      <name val="맑은 고딕"/>
      <family val="3"/>
      <charset val="129"/>
      <scheme val="minor"/>
    </font>
    <font>
      <sz val="8"/>
      <color indexed="61"/>
      <name val="맑은 고딕"/>
      <family val="3"/>
      <charset val="129"/>
      <scheme val="minor"/>
    </font>
    <font>
      <sz val="8"/>
      <color indexed="17"/>
      <name val="맑은 고딕"/>
      <family val="3"/>
      <charset val="129"/>
      <scheme val="minor"/>
    </font>
    <font>
      <sz val="8"/>
      <color indexed="12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9"/>
      <name val="돋움"/>
      <family val="3"/>
      <charset val="129"/>
    </font>
    <font>
      <sz val="8"/>
      <color rgb="FF0000FF"/>
      <name val="맑은 고딕"/>
      <family val="3"/>
      <charset val="129"/>
      <scheme val="minor"/>
    </font>
    <font>
      <sz val="8"/>
      <color indexed="60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3" fillId="0" borderId="0"/>
    <xf numFmtId="41" fontId="1" fillId="0" borderId="0"/>
  </cellStyleXfs>
  <cellXfs count="791">
    <xf numFmtId="0" fontId="0" fillId="0" borderId="0" xfId="0"/>
    <xf numFmtId="0" fontId="7" fillId="0" borderId="0" xfId="0" applyFont="1" applyAlignment="1">
      <alignment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 shrinkToFit="1"/>
    </xf>
    <xf numFmtId="0" fontId="10" fillId="0" borderId="3" xfId="0" applyFont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41" fontId="10" fillId="0" borderId="4" xfId="1" applyFont="1" applyBorder="1" applyAlignment="1">
      <alignment horizontal="right" vertical="center" wrapText="1" shrinkToFit="1"/>
    </xf>
    <xf numFmtId="0" fontId="13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41" fontId="10" fillId="0" borderId="3" xfId="1" applyFont="1" applyBorder="1" applyAlignment="1">
      <alignment horizontal="right" vertical="center" wrapText="1" shrinkToFit="1"/>
    </xf>
    <xf numFmtId="41" fontId="10" fillId="0" borderId="0" xfId="1" applyFont="1" applyAlignment="1">
      <alignment horizontal="right" vertical="center" wrapText="1" shrinkToFit="1"/>
    </xf>
    <xf numFmtId="41" fontId="10" fillId="0" borderId="5" xfId="1" applyFont="1" applyBorder="1" applyAlignment="1">
      <alignment horizontal="right" vertical="center" wrapText="1" shrinkToFit="1"/>
    </xf>
    <xf numFmtId="0" fontId="10" fillId="0" borderId="2" xfId="0" applyFont="1" applyBorder="1" applyAlignment="1">
      <alignment vertical="center" wrapText="1" shrinkToFit="1"/>
    </xf>
    <xf numFmtId="41" fontId="10" fillId="0" borderId="2" xfId="1" applyFont="1" applyBorder="1" applyAlignment="1">
      <alignment horizontal="right" vertical="center" wrapText="1" shrinkToFit="1"/>
    </xf>
    <xf numFmtId="0" fontId="10" fillId="0" borderId="4" xfId="0" applyFont="1" applyBorder="1" applyAlignment="1">
      <alignment vertical="center" wrapText="1" shrinkToFit="1"/>
    </xf>
    <xf numFmtId="41" fontId="10" fillId="0" borderId="4" xfId="2" applyFont="1" applyBorder="1" applyAlignment="1">
      <alignment horizontal="right" vertical="center" wrapText="1" shrinkToFit="1"/>
    </xf>
    <xf numFmtId="41" fontId="10" fillId="0" borderId="3" xfId="2" applyFont="1" applyBorder="1" applyAlignment="1">
      <alignment horizontal="right" vertical="center" wrapText="1" shrinkToFit="1"/>
    </xf>
    <xf numFmtId="41" fontId="10" fillId="0" borderId="2" xfId="2" applyFont="1" applyBorder="1" applyAlignment="1">
      <alignment horizontal="right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wrapText="1" shrinkToFit="1"/>
    </xf>
    <xf numFmtId="41" fontId="10" fillId="0" borderId="1" xfId="1" applyFont="1" applyBorder="1" applyAlignment="1">
      <alignment horizontal="right" vertical="center" wrapText="1" shrinkToFit="1"/>
    </xf>
    <xf numFmtId="41" fontId="7" fillId="0" borderId="0" xfId="2" applyFont="1" applyAlignment="1">
      <alignment horizontal="right" vertical="center" wrapText="1" shrinkToFit="1"/>
    </xf>
    <xf numFmtId="41" fontId="7" fillId="0" borderId="0" xfId="1" applyFont="1" applyAlignment="1">
      <alignment horizontal="righ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41" fontId="10" fillId="0" borderId="1" xfId="2" applyFont="1" applyBorder="1" applyAlignment="1">
      <alignment horizontal="righ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0" fillId="0" borderId="11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41" fontId="8" fillId="2" borderId="1" xfId="1" applyFont="1" applyFill="1" applyBorder="1" applyAlignment="1">
      <alignment horizontal="right" vertical="center" wrapText="1" shrinkToFit="1"/>
    </xf>
    <xf numFmtId="41" fontId="8" fillId="3" borderId="1" xfId="1" applyFont="1" applyFill="1" applyBorder="1" applyAlignment="1">
      <alignment horizontal="right" vertical="center" wrapText="1" shrinkToFit="1"/>
    </xf>
    <xf numFmtId="41" fontId="8" fillId="4" borderId="1" xfId="1" applyFont="1" applyFill="1" applyBorder="1" applyAlignment="1">
      <alignment horizontal="right" vertical="center" wrapText="1" shrinkToFit="1"/>
    </xf>
    <xf numFmtId="41" fontId="8" fillId="5" borderId="1" xfId="1" applyFont="1" applyFill="1" applyBorder="1" applyAlignment="1">
      <alignment horizontal="right" vertical="center" wrapText="1" shrinkToFit="1"/>
    </xf>
    <xf numFmtId="41" fontId="8" fillId="3" borderId="2" xfId="1" applyFont="1" applyFill="1" applyBorder="1" applyAlignment="1">
      <alignment horizontal="right" vertical="center" wrapText="1" shrinkToFit="1"/>
    </xf>
    <xf numFmtId="41" fontId="8" fillId="3" borderId="1" xfId="2" applyFont="1" applyFill="1" applyBorder="1" applyAlignment="1">
      <alignment horizontal="right"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 shrinkToFi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3" fontId="18" fillId="0" borderId="6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left" vertical="center" wrapText="1"/>
    </xf>
    <xf numFmtId="41" fontId="17" fillId="0" borderId="6" xfId="2" applyFont="1" applyBorder="1" applyAlignment="1">
      <alignment horizontal="right" vertical="center" wrapText="1" shrinkToFit="1"/>
    </xf>
    <xf numFmtId="0" fontId="17" fillId="0" borderId="6" xfId="2" applyNumberFormat="1" applyFont="1" applyBorder="1" applyAlignment="1">
      <alignment horizontal="distributed" vertical="center" wrapText="1" shrinkToFit="1"/>
    </xf>
    <xf numFmtId="41" fontId="17" fillId="0" borderId="6" xfId="2" applyFont="1" applyBorder="1" applyAlignment="1">
      <alignment horizontal="center" vertical="center" wrapText="1" shrinkToFit="1"/>
    </xf>
    <xf numFmtId="41" fontId="17" fillId="0" borderId="7" xfId="2" applyFont="1" applyBorder="1" applyAlignment="1">
      <alignment horizontal="right" vertical="center" wrapText="1" shrinkToFit="1"/>
    </xf>
    <xf numFmtId="0" fontId="17" fillId="0" borderId="11" xfId="0" applyFont="1" applyBorder="1" applyAlignment="1">
      <alignment horizontal="left" vertical="center" wrapText="1"/>
    </xf>
    <xf numFmtId="41" fontId="17" fillId="0" borderId="0" xfId="2" applyFont="1" applyAlignment="1">
      <alignment horizontal="right" vertical="center" wrapText="1" shrinkToFit="1"/>
    </xf>
    <xf numFmtId="49" fontId="17" fillId="0" borderId="0" xfId="0" applyNumberFormat="1" applyFont="1" applyAlignment="1">
      <alignment horizontal="center" vertical="center" wrapText="1" shrinkToFit="1"/>
    </xf>
    <xf numFmtId="176" fontId="17" fillId="0" borderId="0" xfId="0" applyNumberFormat="1" applyFont="1" applyAlignment="1">
      <alignment horizontal="distributed" vertical="center" wrapText="1" shrinkToFit="1"/>
    </xf>
    <xf numFmtId="0" fontId="17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distributed" vertical="center" wrapText="1" shrinkToFit="1"/>
    </xf>
    <xf numFmtId="41" fontId="17" fillId="0" borderId="9" xfId="2" applyFont="1" applyBorder="1" applyAlignment="1">
      <alignment horizontal="right" vertical="center" wrapText="1" shrinkToFit="1"/>
    </xf>
    <xf numFmtId="0" fontId="17" fillId="0" borderId="9" xfId="0" applyFont="1" applyBorder="1" applyAlignment="1">
      <alignment horizontal="left" vertical="center" wrapText="1" shrinkToFit="1"/>
    </xf>
    <xf numFmtId="49" fontId="17" fillId="0" borderId="9" xfId="0" applyNumberFormat="1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distributed" vertical="center" wrapText="1" shrinkToFit="1"/>
    </xf>
    <xf numFmtId="41" fontId="17" fillId="0" borderId="10" xfId="2" applyFont="1" applyBorder="1" applyAlignment="1">
      <alignment horizontal="right" vertical="center" wrapText="1" shrinkToFi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 shrinkToFit="1"/>
    </xf>
    <xf numFmtId="49" fontId="17" fillId="0" borderId="6" xfId="0" applyNumberFormat="1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distributed" vertical="center" wrapText="1" shrinkToFit="1"/>
    </xf>
    <xf numFmtId="49" fontId="17" fillId="0" borderId="6" xfId="0" applyNumberFormat="1" applyFont="1" applyBorder="1" applyAlignment="1">
      <alignment horizontal="right" vertical="center" wrapText="1" shrinkToFit="1"/>
    </xf>
    <xf numFmtId="0" fontId="17" fillId="0" borderId="6" xfId="0" applyFont="1" applyBorder="1" applyAlignment="1">
      <alignment horizontal="right" vertical="center" wrapText="1" shrinkToFit="1"/>
    </xf>
    <xf numFmtId="0" fontId="17" fillId="0" borderId="9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 shrinkToFit="1"/>
    </xf>
    <xf numFmtId="0" fontId="14" fillId="0" borderId="9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distributed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vertical="center" wrapText="1" shrinkToFit="1"/>
    </xf>
    <xf numFmtId="0" fontId="10" fillId="0" borderId="10" xfId="0" applyFont="1" applyBorder="1" applyAlignment="1">
      <alignment vertical="center" wrapText="1" shrinkToFit="1"/>
    </xf>
    <xf numFmtId="41" fontId="23" fillId="0" borderId="0" xfId="2" applyFont="1" applyAlignment="1">
      <alignment horizontal="right" vertical="center" wrapText="1" shrinkToFit="1"/>
    </xf>
    <xf numFmtId="41" fontId="23" fillId="0" borderId="5" xfId="2" applyFont="1" applyBorder="1" applyAlignment="1">
      <alignment horizontal="right" vertical="center" wrapText="1" shrinkToFit="1"/>
    </xf>
    <xf numFmtId="41" fontId="23" fillId="0" borderId="14" xfId="2" applyFont="1" applyBorder="1" applyAlignment="1">
      <alignment horizontal="right" vertical="center" wrapText="1" shrinkToFit="1"/>
    </xf>
    <xf numFmtId="41" fontId="23" fillId="0" borderId="15" xfId="2" applyFont="1" applyBorder="1" applyAlignment="1">
      <alignment horizontal="right" vertical="center" wrapText="1" shrinkToFit="1"/>
    </xf>
    <xf numFmtId="41" fontId="23" fillId="0" borderId="6" xfId="2" applyFont="1" applyBorder="1" applyAlignment="1">
      <alignment horizontal="right" vertical="center" wrapText="1" shrinkToFit="1"/>
    </xf>
    <xf numFmtId="41" fontId="23" fillId="0" borderId="7" xfId="2" applyFont="1" applyBorder="1" applyAlignment="1">
      <alignment horizontal="right" vertical="center" wrapText="1" shrinkToFit="1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wrapText="1" shrinkToFit="1"/>
    </xf>
    <xf numFmtId="49" fontId="23" fillId="0" borderId="14" xfId="0" applyNumberFormat="1" applyFont="1" applyBorder="1" applyAlignment="1">
      <alignment horizontal="right" vertical="center" wrapText="1" shrinkToFit="1"/>
    </xf>
    <xf numFmtId="0" fontId="23" fillId="0" borderId="14" xfId="0" applyFont="1" applyBorder="1" applyAlignment="1">
      <alignment horizontal="right" vertical="center" wrapText="1" shrinkToFit="1"/>
    </xf>
    <xf numFmtId="0" fontId="23" fillId="0" borderId="8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 shrinkToFit="1"/>
    </xf>
    <xf numFmtId="49" fontId="23" fillId="0" borderId="6" xfId="0" applyNumberFormat="1" applyFont="1" applyBorder="1" applyAlignment="1">
      <alignment horizontal="center" vertical="center" wrapText="1" shrinkToFit="1"/>
    </xf>
    <xf numFmtId="176" fontId="23" fillId="0" borderId="6" xfId="0" applyNumberFormat="1" applyFont="1" applyBorder="1" applyAlignment="1">
      <alignment horizontal="distributed" vertical="center" wrapText="1" shrinkToFit="1"/>
    </xf>
    <xf numFmtId="0" fontId="23" fillId="0" borderId="6" xfId="0" applyFont="1" applyBorder="1" applyAlignment="1">
      <alignment horizontal="distributed" vertical="center" wrapText="1" shrinkToFi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 shrinkToFit="1"/>
    </xf>
    <xf numFmtId="49" fontId="23" fillId="0" borderId="14" xfId="0" applyNumberFormat="1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 shrinkToFit="1"/>
    </xf>
    <xf numFmtId="49" fontId="23" fillId="0" borderId="0" xfId="0" applyNumberFormat="1" applyFont="1" applyAlignment="1">
      <alignment horizontal="center" vertical="center" wrapText="1" shrinkToFit="1"/>
    </xf>
    <xf numFmtId="0" fontId="23" fillId="0" borderId="0" xfId="0" applyFont="1" applyAlignment="1">
      <alignment horizontal="distributed" vertical="center" wrapText="1" shrinkToFit="1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78" fontId="8" fillId="0" borderId="1" xfId="2" applyNumberFormat="1" applyFont="1" applyBorder="1" applyAlignment="1">
      <alignment horizontal="right" vertical="center" wrapText="1" shrinkToFit="1"/>
    </xf>
    <xf numFmtId="178" fontId="10" fillId="0" borderId="4" xfId="2" applyNumberFormat="1" applyFont="1" applyBorder="1" applyAlignment="1">
      <alignment horizontal="right" vertical="center" wrapText="1" shrinkToFit="1"/>
    </xf>
    <xf numFmtId="178" fontId="10" fillId="0" borderId="3" xfId="2" applyNumberFormat="1" applyFont="1" applyBorder="1" applyAlignment="1">
      <alignment horizontal="right" vertical="center" wrapText="1" shrinkToFit="1"/>
    </xf>
    <xf numFmtId="178" fontId="10" fillId="0" borderId="2" xfId="2" applyNumberFormat="1" applyFont="1" applyBorder="1" applyAlignment="1">
      <alignment horizontal="right" vertical="center" wrapText="1" shrinkToFit="1"/>
    </xf>
    <xf numFmtId="178" fontId="8" fillId="0" borderId="4" xfId="2" applyNumberFormat="1" applyFont="1" applyBorder="1" applyAlignment="1">
      <alignment horizontal="right" vertical="center" wrapText="1" shrinkToFit="1"/>
    </xf>
    <xf numFmtId="178" fontId="8" fillId="0" borderId="3" xfId="2" applyNumberFormat="1" applyFont="1" applyBorder="1" applyAlignment="1">
      <alignment horizontal="right" vertical="center" wrapText="1" shrinkToFit="1"/>
    </xf>
    <xf numFmtId="178" fontId="10" fillId="0" borderId="1" xfId="2" applyNumberFormat="1" applyFont="1" applyBorder="1" applyAlignment="1">
      <alignment horizontal="right" vertical="center" wrapText="1" shrinkToFit="1"/>
    </xf>
    <xf numFmtId="0" fontId="14" fillId="0" borderId="0" xfId="0" applyFont="1" applyAlignment="1">
      <alignment horizontal="distributed" vertical="center" wrapText="1" shrinkToFit="1"/>
    </xf>
    <xf numFmtId="41" fontId="14" fillId="0" borderId="0" xfId="2" applyFont="1" applyAlignment="1">
      <alignment horizontal="right" vertical="center" wrapText="1" shrinkToFit="1"/>
    </xf>
    <xf numFmtId="41" fontId="17" fillId="0" borderId="5" xfId="2" applyFont="1" applyBorder="1" applyAlignment="1">
      <alignment horizontal="right" vertical="center" wrapText="1" shrinkToFit="1"/>
    </xf>
    <xf numFmtId="41" fontId="14" fillId="0" borderId="5" xfId="2" applyFont="1" applyBorder="1" applyAlignment="1">
      <alignment horizontal="right" vertical="center" wrapText="1" shrinkToFit="1"/>
    </xf>
    <xf numFmtId="41" fontId="14" fillId="0" borderId="9" xfId="2" applyFont="1" applyBorder="1" applyAlignment="1">
      <alignment horizontal="right" vertical="center" wrapText="1" shrinkToFit="1"/>
    </xf>
    <xf numFmtId="41" fontId="14" fillId="0" borderId="10" xfId="2" applyFont="1" applyBorder="1" applyAlignment="1">
      <alignment horizontal="right" vertical="center" wrapText="1" shrinkToFit="1"/>
    </xf>
    <xf numFmtId="0" fontId="10" fillId="0" borderId="8" xfId="0" applyFont="1" applyBorder="1" applyAlignment="1">
      <alignment vertical="center" wrapText="1" shrinkToFit="1"/>
    </xf>
    <xf numFmtId="0" fontId="10" fillId="0" borderId="5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wrapText="1"/>
    </xf>
    <xf numFmtId="9" fontId="7" fillId="0" borderId="0" xfId="0" applyNumberFormat="1" applyFont="1" applyAlignment="1">
      <alignment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21" fillId="0" borderId="0" xfId="0" applyFont="1"/>
    <xf numFmtId="0" fontId="19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 wrapText="1" shrinkToFit="1"/>
    </xf>
    <xf numFmtId="0" fontId="10" fillId="0" borderId="14" xfId="0" applyFont="1" applyBorder="1" applyAlignment="1">
      <alignment vertical="center" wrapText="1" shrinkToFit="1"/>
    </xf>
    <xf numFmtId="41" fontId="7" fillId="0" borderId="0" xfId="0" applyNumberFormat="1" applyFont="1" applyAlignment="1">
      <alignment vertical="center" wrapText="1" shrinkToFit="1"/>
    </xf>
    <xf numFmtId="41" fontId="10" fillId="0" borderId="15" xfId="1" applyFont="1" applyBorder="1" applyAlignment="1">
      <alignment horizontal="right" vertical="center" wrapText="1" shrinkToFit="1"/>
    </xf>
    <xf numFmtId="41" fontId="10" fillId="0" borderId="14" xfId="1" applyFont="1" applyBorder="1" applyAlignment="1">
      <alignment horizontal="right" vertical="center" wrapText="1" shrinkToFit="1"/>
    </xf>
    <xf numFmtId="41" fontId="17" fillId="0" borderId="5" xfId="2" applyFont="1" applyFill="1" applyBorder="1" applyAlignment="1">
      <alignment horizontal="right" vertical="center" wrapText="1" shrinkToFit="1"/>
    </xf>
    <xf numFmtId="0" fontId="17" fillId="0" borderId="0" xfId="0" applyFont="1" applyFill="1" applyAlignment="1">
      <alignment horizontal="left" vertical="center" wrapText="1" shrinkToFit="1"/>
    </xf>
    <xf numFmtId="49" fontId="17" fillId="0" borderId="0" xfId="0" applyNumberFormat="1" applyFont="1" applyFill="1" applyAlignment="1">
      <alignment horizontal="right" vertical="center" wrapText="1" shrinkToFit="1"/>
    </xf>
    <xf numFmtId="0" fontId="17" fillId="0" borderId="0" xfId="0" applyFont="1" applyFill="1" applyAlignment="1">
      <alignment horizontal="distributed" vertical="center" wrapText="1" shrinkToFit="1"/>
    </xf>
    <xf numFmtId="0" fontId="17" fillId="0" borderId="0" xfId="0" applyFont="1" applyFill="1" applyAlignment="1">
      <alignment horizontal="right" vertical="center" wrapText="1" shrinkToFit="1"/>
    </xf>
    <xf numFmtId="41" fontId="23" fillId="0" borderId="5" xfId="2" applyFont="1" applyFill="1" applyBorder="1" applyAlignment="1">
      <alignment horizontal="right" vertical="center" wrapText="1" shrinkToFit="1"/>
    </xf>
    <xf numFmtId="41" fontId="17" fillId="0" borderId="10" xfId="2" applyFont="1" applyFill="1" applyBorder="1" applyAlignment="1">
      <alignment horizontal="right" vertical="center" wrapText="1" shrinkToFit="1"/>
    </xf>
    <xf numFmtId="41" fontId="23" fillId="0" borderId="7" xfId="2" applyFont="1" applyFill="1" applyBorder="1" applyAlignment="1">
      <alignment horizontal="right" vertical="center" wrapText="1" shrinkToFit="1"/>
    </xf>
    <xf numFmtId="0" fontId="14" fillId="0" borderId="11" xfId="0" applyFont="1" applyFill="1" applyBorder="1" applyAlignment="1">
      <alignment horizontal="left" vertical="center" shrinkToFit="1"/>
    </xf>
    <xf numFmtId="41" fontId="17" fillId="0" borderId="0" xfId="2" applyFont="1" applyFill="1" applyAlignment="1">
      <alignment horizontal="right" vertical="center" wrapText="1" shrinkToFit="1"/>
    </xf>
    <xf numFmtId="0" fontId="17" fillId="0" borderId="9" xfId="0" applyFont="1" applyFill="1" applyBorder="1" applyAlignment="1">
      <alignment horizontal="left" vertical="center" shrinkToFit="1"/>
    </xf>
    <xf numFmtId="41" fontId="17" fillId="0" borderId="9" xfId="2" applyFont="1" applyFill="1" applyBorder="1" applyAlignment="1">
      <alignment horizontal="right" vertical="center" wrapText="1" shrinkToFit="1"/>
    </xf>
    <xf numFmtId="0" fontId="17" fillId="0" borderId="9" xfId="0" applyFont="1" applyFill="1" applyBorder="1" applyAlignment="1">
      <alignment horizontal="left" vertical="center" wrapText="1" shrinkToFit="1"/>
    </xf>
    <xf numFmtId="49" fontId="17" fillId="0" borderId="9" xfId="0" applyNumberFormat="1" applyFont="1" applyFill="1" applyBorder="1" applyAlignment="1">
      <alignment horizontal="right" vertical="center" wrapText="1" shrinkToFit="1"/>
    </xf>
    <xf numFmtId="0" fontId="17" fillId="0" borderId="9" xfId="0" applyFont="1" applyFill="1" applyBorder="1" applyAlignment="1">
      <alignment horizontal="distributed" vertical="center" wrapText="1" shrinkToFit="1"/>
    </xf>
    <xf numFmtId="0" fontId="17" fillId="0" borderId="9" xfId="0" applyFont="1" applyFill="1" applyBorder="1" applyAlignment="1">
      <alignment horizontal="right" vertical="center" wrapText="1" shrinkToFit="1"/>
    </xf>
    <xf numFmtId="0" fontId="14" fillId="0" borderId="0" xfId="0" applyFont="1" applyFill="1" applyAlignment="1">
      <alignment horizontal="left" vertical="center" shrinkToFit="1"/>
    </xf>
    <xf numFmtId="41" fontId="14" fillId="0" borderId="0" xfId="2" applyFont="1" applyFill="1" applyAlignment="1">
      <alignment horizontal="right" vertical="center" wrapText="1" shrinkToFit="1"/>
    </xf>
    <xf numFmtId="0" fontId="14" fillId="0" borderId="0" xfId="2" applyNumberFormat="1" applyFont="1" applyFill="1" applyAlignment="1">
      <alignment horizontal="left" vertical="center" wrapText="1" shrinkToFit="1"/>
    </xf>
    <xf numFmtId="41" fontId="14" fillId="0" borderId="0" xfId="2" applyFont="1" applyFill="1" applyAlignment="1">
      <alignment horizontal="center" vertical="center" wrapText="1" shrinkToFit="1"/>
    </xf>
    <xf numFmtId="0" fontId="14" fillId="0" borderId="0" xfId="2" applyNumberFormat="1" applyFont="1" applyFill="1" applyAlignment="1">
      <alignment horizontal="right" vertical="center" wrapText="1" shrinkToFit="1"/>
    </xf>
    <xf numFmtId="0" fontId="14" fillId="0" borderId="0" xfId="2" applyNumberFormat="1" applyFont="1" applyFill="1" applyAlignment="1">
      <alignment horizontal="center" vertical="center" wrapText="1" shrinkToFit="1"/>
    </xf>
    <xf numFmtId="41" fontId="14" fillId="0" borderId="5" xfId="2" applyFont="1" applyFill="1" applyBorder="1" applyAlignment="1">
      <alignment horizontal="right" vertical="center" wrapText="1" shrinkToFit="1"/>
    </xf>
    <xf numFmtId="0" fontId="17" fillId="0" borderId="0" xfId="2" applyNumberFormat="1" applyFont="1" applyFill="1" applyAlignment="1">
      <alignment horizontal="left" vertical="center" wrapText="1" shrinkToFit="1"/>
    </xf>
    <xf numFmtId="41" fontId="17" fillId="0" borderId="0" xfId="2" applyFont="1" applyFill="1" applyAlignment="1">
      <alignment horizontal="center" vertical="center" wrapText="1" shrinkToFit="1"/>
    </xf>
    <xf numFmtId="0" fontId="17" fillId="0" borderId="0" xfId="2" applyNumberFormat="1" applyFont="1" applyFill="1" applyAlignment="1">
      <alignment horizontal="center" vertical="center" wrapText="1" shrinkToFit="1"/>
    </xf>
    <xf numFmtId="41" fontId="6" fillId="0" borderId="4" xfId="2" applyFont="1" applyFill="1" applyBorder="1" applyAlignment="1">
      <alignment horizontal="right" vertical="center" wrapText="1" shrinkToFit="1"/>
    </xf>
    <xf numFmtId="0" fontId="15" fillId="0" borderId="14" xfId="0" applyFont="1" applyFill="1" applyBorder="1" applyAlignment="1">
      <alignment horizontal="left" vertical="center" shrinkToFit="1"/>
    </xf>
    <xf numFmtId="41" fontId="15" fillId="0" borderId="14" xfId="2" applyFont="1" applyFill="1" applyBorder="1" applyAlignment="1">
      <alignment horizontal="right" vertical="center" wrapText="1" shrinkToFit="1"/>
    </xf>
    <xf numFmtId="0" fontId="15" fillId="0" borderId="14" xfId="2" applyNumberFormat="1" applyFont="1" applyFill="1" applyBorder="1" applyAlignment="1">
      <alignment horizontal="left" vertical="center" wrapText="1" shrinkToFit="1"/>
    </xf>
    <xf numFmtId="41" fontId="15" fillId="0" borderId="14" xfId="2" applyFont="1" applyFill="1" applyBorder="1" applyAlignment="1">
      <alignment horizontal="center" vertical="center" wrapText="1" shrinkToFit="1"/>
    </xf>
    <xf numFmtId="0" fontId="15" fillId="0" borderId="14" xfId="2" applyNumberFormat="1" applyFont="1" applyFill="1" applyBorder="1" applyAlignment="1">
      <alignment horizontal="right" vertical="center" wrapText="1" shrinkToFit="1"/>
    </xf>
    <xf numFmtId="41" fontId="15" fillId="0" borderId="15" xfId="2" applyFont="1" applyFill="1" applyBorder="1" applyAlignment="1">
      <alignment horizontal="right" vertical="center" wrapText="1" shrinkToFit="1"/>
    </xf>
    <xf numFmtId="0" fontId="14" fillId="0" borderId="9" xfId="0" applyFont="1" applyFill="1" applyBorder="1" applyAlignment="1">
      <alignment horizontal="left" vertical="center" shrinkToFit="1"/>
    </xf>
    <xf numFmtId="41" fontId="14" fillId="0" borderId="9" xfId="2" applyFont="1" applyFill="1" applyBorder="1" applyAlignment="1">
      <alignment horizontal="right" vertical="center" wrapText="1" shrinkToFit="1"/>
    </xf>
    <xf numFmtId="0" fontId="14" fillId="0" borderId="9" xfId="2" applyNumberFormat="1" applyFont="1" applyFill="1" applyBorder="1" applyAlignment="1">
      <alignment horizontal="left" vertical="center" wrapText="1" shrinkToFit="1"/>
    </xf>
    <xf numFmtId="41" fontId="14" fillId="0" borderId="9" xfId="2" applyFont="1" applyFill="1" applyBorder="1" applyAlignment="1">
      <alignment horizontal="center" vertical="center" wrapText="1" shrinkToFit="1"/>
    </xf>
    <xf numFmtId="0" fontId="14" fillId="0" borderId="9" xfId="2" applyNumberFormat="1" applyFont="1" applyFill="1" applyBorder="1" applyAlignment="1">
      <alignment horizontal="right" vertical="center" wrapText="1" shrinkToFit="1"/>
    </xf>
    <xf numFmtId="41" fontId="14" fillId="0" borderId="10" xfId="2" applyFont="1" applyFill="1" applyBorder="1" applyAlignment="1">
      <alignment horizontal="right" vertical="center" wrapText="1" shrinkToFit="1"/>
    </xf>
    <xf numFmtId="41" fontId="6" fillId="0" borderId="1" xfId="2" applyFont="1" applyFill="1" applyBorder="1" applyAlignment="1">
      <alignment horizontal="right" vertical="center" wrapText="1" shrinkToFit="1"/>
    </xf>
    <xf numFmtId="41" fontId="10" fillId="0" borderId="3" xfId="1" applyFont="1" applyFill="1" applyBorder="1" applyAlignment="1">
      <alignment horizontal="right" vertical="center" wrapText="1" shrinkToFit="1"/>
    </xf>
    <xf numFmtId="41" fontId="10" fillId="0" borderId="1" xfId="2" applyFont="1" applyFill="1" applyBorder="1" applyAlignment="1">
      <alignment horizontal="right" vertical="center" wrapText="1" shrinkToFit="1"/>
    </xf>
    <xf numFmtId="178" fontId="10" fillId="0" borderId="4" xfId="2" applyNumberFormat="1" applyFont="1" applyFill="1" applyBorder="1" applyAlignment="1">
      <alignment horizontal="right" vertical="center" wrapText="1" shrinkToFit="1"/>
    </xf>
    <xf numFmtId="0" fontId="17" fillId="0" borderId="9" xfId="2" applyNumberFormat="1" applyFont="1" applyFill="1" applyBorder="1" applyAlignment="1">
      <alignment horizontal="left" vertical="center" wrapText="1" shrinkToFit="1"/>
    </xf>
    <xf numFmtId="41" fontId="17" fillId="0" borderId="9" xfId="2" applyFont="1" applyFill="1" applyBorder="1" applyAlignment="1">
      <alignment horizontal="center" vertical="center" wrapText="1" shrinkToFit="1"/>
    </xf>
    <xf numFmtId="41" fontId="23" fillId="0" borderId="10" xfId="2" applyFont="1" applyFill="1" applyBorder="1" applyAlignment="1">
      <alignment horizontal="right" vertical="center" wrapText="1" shrinkToFit="1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left" vertical="center" shrinkToFit="1"/>
    </xf>
    <xf numFmtId="41" fontId="17" fillId="0" borderId="14" xfId="2" applyFont="1" applyFill="1" applyBorder="1" applyAlignment="1">
      <alignment horizontal="right" vertical="center" wrapText="1" shrinkToFit="1"/>
    </xf>
    <xf numFmtId="0" fontId="17" fillId="0" borderId="14" xfId="2" applyNumberFormat="1" applyFont="1" applyFill="1" applyBorder="1" applyAlignment="1">
      <alignment horizontal="left" vertical="center" wrapText="1" shrinkToFit="1"/>
    </xf>
    <xf numFmtId="41" fontId="17" fillId="0" borderId="14" xfId="2" applyFont="1" applyFill="1" applyBorder="1" applyAlignment="1">
      <alignment horizontal="center" vertical="center" wrapText="1" shrinkToFit="1"/>
    </xf>
    <xf numFmtId="0" fontId="17" fillId="0" borderId="14" xfId="2" applyNumberFormat="1" applyFont="1" applyFill="1" applyBorder="1" applyAlignment="1">
      <alignment horizontal="right" vertical="center" wrapText="1" shrinkToFit="1"/>
    </xf>
    <xf numFmtId="41" fontId="17" fillId="0" borderId="15" xfId="2" applyFont="1" applyFill="1" applyBorder="1" applyAlignment="1">
      <alignment horizontal="right" vertical="center" wrapText="1" shrinkToFit="1"/>
    </xf>
    <xf numFmtId="0" fontId="17" fillId="0" borderId="9" xfId="2" applyNumberFormat="1" applyFont="1" applyFill="1" applyBorder="1" applyAlignment="1">
      <alignment horizontal="distributed" vertical="center" wrapText="1" shrinkToFit="1"/>
    </xf>
    <xf numFmtId="0" fontId="17" fillId="0" borderId="6" xfId="0" applyFont="1" applyFill="1" applyBorder="1" applyAlignment="1">
      <alignment horizontal="left" vertical="center" shrinkToFit="1"/>
    </xf>
    <xf numFmtId="41" fontId="17" fillId="0" borderId="6" xfId="2" applyFont="1" applyFill="1" applyBorder="1" applyAlignment="1">
      <alignment horizontal="right" vertical="center" wrapText="1" shrinkToFit="1"/>
    </xf>
    <xf numFmtId="0" fontId="17" fillId="0" borderId="6" xfId="2" applyNumberFormat="1" applyFont="1" applyFill="1" applyBorder="1" applyAlignment="1">
      <alignment horizontal="left" vertical="center" wrapText="1" shrinkToFit="1"/>
    </xf>
    <xf numFmtId="41" fontId="17" fillId="0" borderId="6" xfId="2" applyFont="1" applyFill="1" applyBorder="1" applyAlignment="1">
      <alignment horizontal="center" vertical="center" wrapText="1" shrinkToFit="1"/>
    </xf>
    <xf numFmtId="0" fontId="17" fillId="0" borderId="6" xfId="2" applyNumberFormat="1" applyFont="1" applyFill="1" applyBorder="1" applyAlignment="1">
      <alignment horizontal="distributed" vertical="center" wrapText="1" shrinkToFit="1"/>
    </xf>
    <xf numFmtId="41" fontId="17" fillId="0" borderId="7" xfId="2" applyFont="1" applyFill="1" applyBorder="1" applyAlignment="1">
      <alignment horizontal="right" vertical="center" wrapText="1" shrinkToFit="1"/>
    </xf>
    <xf numFmtId="0" fontId="17" fillId="0" borderId="13" xfId="0" applyFont="1" applyFill="1" applyBorder="1" applyAlignment="1">
      <alignment horizontal="left" vertical="center" shrinkToFit="1"/>
    </xf>
    <xf numFmtId="41" fontId="17" fillId="0" borderId="0" xfId="2" applyFont="1" applyFill="1" applyBorder="1" applyAlignment="1">
      <alignment horizontal="right" vertical="center" wrapText="1" shrinkToFit="1"/>
    </xf>
    <xf numFmtId="0" fontId="17" fillId="0" borderId="0" xfId="2" applyNumberFormat="1" applyFont="1" applyFill="1" applyBorder="1" applyAlignment="1">
      <alignment horizontal="left" vertical="center" wrapText="1" shrinkToFit="1"/>
    </xf>
    <xf numFmtId="41" fontId="17" fillId="0" borderId="0" xfId="2" applyFont="1" applyFill="1" applyBorder="1" applyAlignment="1">
      <alignment horizontal="center" vertical="center" wrapText="1" shrinkToFit="1"/>
    </xf>
    <xf numFmtId="0" fontId="17" fillId="0" borderId="0" xfId="2" applyNumberFormat="1" applyFont="1" applyFill="1" applyBorder="1" applyAlignment="1">
      <alignment horizontal="right" vertical="center" wrapText="1" shrinkToFit="1"/>
    </xf>
    <xf numFmtId="0" fontId="17" fillId="0" borderId="14" xfId="0" applyFont="1" applyFill="1" applyBorder="1" applyAlignment="1">
      <alignment horizontal="left" vertical="center" wrapText="1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right" vertical="center" wrapText="1" shrinkToFit="1"/>
    </xf>
    <xf numFmtId="41" fontId="23" fillId="0" borderId="14" xfId="2" applyFont="1" applyFill="1" applyBorder="1" applyAlignment="1">
      <alignment horizontal="right" vertical="center" wrapText="1" shrinkToFit="1"/>
    </xf>
    <xf numFmtId="0" fontId="23" fillId="0" borderId="14" xfId="2" applyNumberFormat="1" applyFont="1" applyFill="1" applyBorder="1" applyAlignment="1">
      <alignment horizontal="left" vertical="center" wrapText="1" shrinkToFit="1"/>
    </xf>
    <xf numFmtId="41" fontId="23" fillId="0" borderId="14" xfId="2" applyFont="1" applyFill="1" applyBorder="1" applyAlignment="1">
      <alignment horizontal="center" vertical="center" wrapText="1" shrinkToFit="1"/>
    </xf>
    <xf numFmtId="0" fontId="23" fillId="0" borderId="14" xfId="2" applyNumberFormat="1" applyFont="1" applyFill="1" applyBorder="1" applyAlignment="1">
      <alignment horizontal="right" vertical="center" wrapText="1" shrinkToFit="1"/>
    </xf>
    <xf numFmtId="41" fontId="23" fillId="0" borderId="15" xfId="2" applyFont="1" applyFill="1" applyBorder="1" applyAlignment="1">
      <alignment horizontal="right" vertical="center" wrapText="1" shrinkToFit="1"/>
    </xf>
    <xf numFmtId="0" fontId="23" fillId="0" borderId="11" xfId="0" applyFont="1" applyFill="1" applyBorder="1" applyAlignment="1">
      <alignment horizontal="left" vertical="center" shrinkToFit="1"/>
    </xf>
    <xf numFmtId="41" fontId="23" fillId="0" borderId="0" xfId="2" applyFont="1" applyFill="1" applyAlignment="1">
      <alignment horizontal="right" vertical="center" wrapText="1" shrinkToFit="1"/>
    </xf>
    <xf numFmtId="0" fontId="23" fillId="0" borderId="0" xfId="2" applyNumberFormat="1" applyFont="1" applyFill="1" applyAlignment="1">
      <alignment horizontal="left" vertical="center" wrapText="1" shrinkToFit="1"/>
    </xf>
    <xf numFmtId="41" fontId="23" fillId="0" borderId="0" xfId="2" applyFont="1" applyFill="1" applyAlignment="1">
      <alignment horizontal="center" vertical="center" wrapText="1" shrinkToFit="1"/>
    </xf>
    <xf numFmtId="0" fontId="23" fillId="0" borderId="0" xfId="2" applyNumberFormat="1" applyFont="1" applyFill="1" applyAlignment="1">
      <alignment horizontal="righ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right" vertical="center" wrapText="1" shrinkToFit="1"/>
    </xf>
    <xf numFmtId="41" fontId="17" fillId="0" borderId="0" xfId="2" applyFont="1" applyFill="1" applyAlignment="1">
      <alignment horizontal="left" vertical="center" wrapText="1" shrinkToFit="1"/>
    </xf>
    <xf numFmtId="0" fontId="23" fillId="0" borderId="0" xfId="0" applyFont="1" applyFill="1" applyAlignment="1">
      <alignment horizontal="left" vertical="center" wrapText="1" shrinkToFit="1"/>
    </xf>
    <xf numFmtId="178" fontId="10" fillId="0" borderId="1" xfId="2" applyNumberFormat="1" applyFont="1" applyFill="1" applyBorder="1" applyAlignment="1">
      <alignment horizontal="right" vertical="center" wrapText="1" shrinkToFit="1"/>
    </xf>
    <xf numFmtId="178" fontId="10" fillId="0" borderId="3" xfId="2" applyNumberFormat="1" applyFont="1" applyFill="1" applyBorder="1" applyAlignment="1">
      <alignment horizontal="right" vertical="center" wrapText="1" shrinkToFit="1"/>
    </xf>
    <xf numFmtId="0" fontId="10" fillId="0" borderId="0" xfId="0" applyFont="1" applyAlignment="1">
      <alignment vertical="center" wrapText="1" shrinkToFit="1"/>
    </xf>
    <xf numFmtId="41" fontId="14" fillId="6" borderId="5" xfId="2" applyFont="1" applyFill="1" applyBorder="1" applyAlignment="1">
      <alignment horizontal="right" vertical="center" wrapText="1" shrinkToFit="1"/>
    </xf>
    <xf numFmtId="41" fontId="6" fillId="0" borderId="3" xfId="2" applyFont="1" applyFill="1" applyBorder="1" applyAlignment="1">
      <alignment horizontal="right" vertical="center" wrapText="1" shrinkToFit="1"/>
    </xf>
    <xf numFmtId="0" fontId="10" fillId="0" borderId="13" xfId="0" applyFont="1" applyBorder="1" applyAlignment="1">
      <alignment vertical="center" wrapText="1" shrinkToFit="1"/>
    </xf>
    <xf numFmtId="49" fontId="17" fillId="0" borderId="0" xfId="0" applyNumberFormat="1" applyFont="1" applyFill="1" applyAlignment="1">
      <alignment horizontal="center" vertical="center" wrapText="1" shrinkToFit="1"/>
    </xf>
    <xf numFmtId="49" fontId="17" fillId="0" borderId="0" xfId="0" applyNumberFormat="1" applyFont="1" applyFill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 vertical="center" wrapText="1" shrinkToFit="1"/>
    </xf>
    <xf numFmtId="49" fontId="14" fillId="0" borderId="0" xfId="0" applyNumberFormat="1" applyFont="1" applyFill="1" applyAlignment="1">
      <alignment horizontal="right" vertical="center" wrapText="1" shrinkToFit="1"/>
    </xf>
    <xf numFmtId="0" fontId="14" fillId="0" borderId="0" xfId="0" applyFont="1" applyFill="1" applyAlignment="1">
      <alignment horizontal="distributed" vertical="center" wrapText="1" shrinkToFit="1"/>
    </xf>
    <xf numFmtId="0" fontId="14" fillId="0" borderId="0" xfId="0" applyFont="1" applyFill="1" applyAlignment="1">
      <alignment horizontal="right" vertical="center" wrapText="1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wrapText="1" shrinkToFit="1"/>
    </xf>
    <xf numFmtId="49" fontId="15" fillId="0" borderId="14" xfId="0" applyNumberFormat="1" applyFont="1" applyFill="1" applyBorder="1" applyAlignment="1">
      <alignment horizontal="right" vertical="center" wrapText="1" shrinkToFit="1"/>
    </xf>
    <xf numFmtId="0" fontId="15" fillId="0" borderId="14" xfId="0" applyFont="1" applyFill="1" applyBorder="1" applyAlignment="1">
      <alignment horizontal="distributed" vertical="center" wrapText="1" shrinkToFit="1"/>
    </xf>
    <xf numFmtId="0" fontId="15" fillId="0" borderId="14" xfId="0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7" fillId="0" borderId="11" xfId="0" applyFont="1" applyBorder="1" applyAlignment="1">
      <alignment horizontal="left" vertical="center" shrinkToFit="1"/>
    </xf>
    <xf numFmtId="41" fontId="28" fillId="0" borderId="0" xfId="2" applyFont="1" applyAlignment="1">
      <alignment horizontal="right" vertical="center" wrapText="1" shrinkToFit="1"/>
    </xf>
    <xf numFmtId="0" fontId="28" fillId="0" borderId="0" xfId="0" applyFont="1" applyAlignment="1">
      <alignment horizontal="left" vertical="center" wrapText="1" shrinkToFit="1"/>
    </xf>
    <xf numFmtId="49" fontId="28" fillId="0" borderId="0" xfId="0" applyNumberFormat="1" applyFont="1" applyAlignment="1">
      <alignment horizontal="right" vertical="center" wrapText="1" shrinkToFit="1"/>
    </xf>
    <xf numFmtId="0" fontId="28" fillId="0" borderId="0" xfId="0" applyFont="1" applyAlignment="1">
      <alignment horizontal="distributed" vertical="center" wrapText="1" shrinkToFit="1"/>
    </xf>
    <xf numFmtId="0" fontId="28" fillId="0" borderId="0" xfId="0" applyFont="1" applyAlignment="1">
      <alignment horizontal="right" vertical="center" wrapText="1" shrinkToFit="1"/>
    </xf>
    <xf numFmtId="41" fontId="27" fillId="0" borderId="5" xfId="2" applyFont="1" applyFill="1" applyBorder="1" applyAlignment="1">
      <alignment horizontal="right" vertical="center" wrapText="1" shrinkToFit="1"/>
    </xf>
    <xf numFmtId="41" fontId="5" fillId="0" borderId="0" xfId="2" applyFont="1" applyBorder="1" applyAlignment="1">
      <alignment horizontal="righ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49" fontId="28" fillId="0" borderId="0" xfId="0" applyNumberFormat="1" applyFont="1" applyBorder="1" applyAlignment="1">
      <alignment horizontal="right" vertical="center" wrapText="1" shrinkToFit="1"/>
    </xf>
    <xf numFmtId="0" fontId="28" fillId="0" borderId="0" xfId="0" applyFont="1" applyBorder="1" applyAlignment="1">
      <alignment horizontal="distributed" vertical="center" wrapText="1" shrinkToFit="1"/>
    </xf>
    <xf numFmtId="0" fontId="28" fillId="0" borderId="0" xfId="0" applyFont="1" applyBorder="1" applyAlignment="1">
      <alignment horizontal="right" vertical="center" wrapText="1" shrinkToFit="1"/>
    </xf>
    <xf numFmtId="0" fontId="28" fillId="0" borderId="0" xfId="0" applyNumberFormat="1" applyFont="1" applyBorder="1" applyAlignment="1">
      <alignment horizontal="right" vertical="center" wrapText="1" shrinkToFit="1"/>
    </xf>
    <xf numFmtId="0" fontId="5" fillId="0" borderId="17" xfId="0" applyFont="1" applyBorder="1" applyAlignment="1">
      <alignment horizontal="left" vertical="center" shrinkToFit="1"/>
    </xf>
    <xf numFmtId="41" fontId="5" fillId="0" borderId="18" xfId="2" applyFont="1" applyBorder="1" applyAlignment="1">
      <alignment horizontal="right" vertical="center" wrapText="1" shrinkToFit="1"/>
    </xf>
    <xf numFmtId="0" fontId="28" fillId="0" borderId="18" xfId="0" applyFont="1" applyBorder="1" applyAlignment="1">
      <alignment horizontal="left" vertical="center" wrapText="1" shrinkToFit="1"/>
    </xf>
    <xf numFmtId="0" fontId="28" fillId="0" borderId="18" xfId="0" applyNumberFormat="1" applyFont="1" applyBorder="1" applyAlignment="1">
      <alignment horizontal="right" vertical="center" wrapText="1" shrinkToFit="1"/>
    </xf>
    <xf numFmtId="0" fontId="28" fillId="0" borderId="18" xfId="0" applyFont="1" applyBorder="1" applyAlignment="1">
      <alignment horizontal="distributed" vertical="center" wrapText="1" shrinkToFit="1"/>
    </xf>
    <xf numFmtId="0" fontId="28" fillId="0" borderId="18" xfId="0" applyFont="1" applyBorder="1" applyAlignment="1">
      <alignment horizontal="right" vertical="center" wrapText="1" shrinkToFit="1"/>
    </xf>
    <xf numFmtId="41" fontId="28" fillId="0" borderId="19" xfId="2" applyFont="1" applyBorder="1" applyAlignment="1">
      <alignment horizontal="right" vertical="center" wrapText="1" shrinkToFit="1"/>
    </xf>
    <xf numFmtId="0" fontId="5" fillId="0" borderId="20" xfId="0" applyFont="1" applyBorder="1" applyAlignment="1">
      <alignment horizontal="left" vertical="center" shrinkToFit="1"/>
    </xf>
    <xf numFmtId="41" fontId="28" fillId="0" borderId="21" xfId="2" applyFont="1" applyBorder="1" applyAlignment="1">
      <alignment horizontal="right" vertical="center" wrapText="1" shrinkToFit="1"/>
    </xf>
    <xf numFmtId="0" fontId="28" fillId="0" borderId="0" xfId="0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0" fontId="28" fillId="0" borderId="0" xfId="0" applyFont="1" applyFill="1" applyBorder="1" applyAlignment="1">
      <alignment horizontal="distributed" vertical="center" wrapText="1" shrinkToFit="1"/>
    </xf>
    <xf numFmtId="0" fontId="28" fillId="0" borderId="0" xfId="0" applyFont="1" applyFill="1" applyBorder="1" applyAlignment="1">
      <alignment horizontal="right" vertical="center" wrapText="1" shrinkToFit="1"/>
    </xf>
    <xf numFmtId="41" fontId="28" fillId="0" borderId="21" xfId="2" applyFont="1" applyFill="1" applyBorder="1" applyAlignment="1">
      <alignment horizontal="right" vertical="center" wrapText="1" shrinkToFit="1"/>
    </xf>
    <xf numFmtId="0" fontId="5" fillId="0" borderId="22" xfId="0" applyFont="1" applyBorder="1" applyAlignment="1">
      <alignment horizontal="left" vertical="center" shrinkToFit="1"/>
    </xf>
    <xf numFmtId="41" fontId="5" fillId="0" borderId="16" xfId="2" applyFont="1" applyBorder="1" applyAlignment="1">
      <alignment horizontal="right" vertical="center" wrapText="1" shrinkToFit="1"/>
    </xf>
    <xf numFmtId="0" fontId="28" fillId="0" borderId="16" xfId="0" applyFont="1" applyBorder="1" applyAlignment="1">
      <alignment horizontal="left" vertical="center" wrapText="1" shrinkToFit="1"/>
    </xf>
    <xf numFmtId="49" fontId="28" fillId="0" borderId="16" xfId="0" applyNumberFormat="1" applyFont="1" applyBorder="1" applyAlignment="1">
      <alignment horizontal="right" vertical="center" wrapText="1" shrinkToFit="1"/>
    </xf>
    <xf numFmtId="0" fontId="28" fillId="0" borderId="16" xfId="0" applyFont="1" applyBorder="1" applyAlignment="1">
      <alignment horizontal="distributed" vertical="center" wrapText="1" shrinkToFit="1"/>
    </xf>
    <xf numFmtId="0" fontId="28" fillId="0" borderId="16" xfId="0" applyFont="1" applyBorder="1" applyAlignment="1">
      <alignment horizontal="right" vertical="center" wrapText="1" shrinkToFit="1"/>
    </xf>
    <xf numFmtId="41" fontId="28" fillId="0" borderId="23" xfId="2" applyFont="1" applyBorder="1" applyAlignment="1">
      <alignment horizontal="right" vertical="center" wrapText="1" shrinkToFit="1"/>
    </xf>
    <xf numFmtId="0" fontId="17" fillId="0" borderId="9" xfId="0" applyNumberFormat="1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3" fontId="4" fillId="0" borderId="9" xfId="0" applyNumberFormat="1" applyFont="1" applyFill="1" applyBorder="1" applyAlignment="1">
      <alignment vertical="center" wrapText="1" shrinkToFit="1"/>
    </xf>
    <xf numFmtId="41" fontId="9" fillId="0" borderId="9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1" fontId="9" fillId="0" borderId="1" xfId="2" applyFont="1" applyFill="1" applyBorder="1" applyAlignment="1">
      <alignment horizontal="right" vertical="center" wrapText="1" shrinkToFit="1"/>
    </xf>
    <xf numFmtId="41" fontId="14" fillId="0" borderId="0" xfId="2" applyFont="1" applyFill="1" applyAlignment="1">
      <alignment vertical="center"/>
    </xf>
    <xf numFmtId="41" fontId="14" fillId="0" borderId="6" xfId="0" applyNumberFormat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left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left" vertical="center" wrapText="1"/>
    </xf>
    <xf numFmtId="41" fontId="14" fillId="0" borderId="6" xfId="2" applyFont="1" applyFill="1" applyBorder="1" applyAlignment="1">
      <alignment horizontal="right" vertical="center" wrapText="1" shrinkToFit="1"/>
    </xf>
    <xf numFmtId="0" fontId="14" fillId="0" borderId="6" xfId="2" applyNumberFormat="1" applyFont="1" applyFill="1" applyBorder="1" applyAlignment="1">
      <alignment horizontal="left" vertical="center" wrapText="1" shrinkToFit="1"/>
    </xf>
    <xf numFmtId="41" fontId="14" fillId="0" borderId="6" xfId="2" applyFont="1" applyFill="1" applyBorder="1" applyAlignment="1">
      <alignment horizontal="center" vertical="center" wrapText="1" shrinkToFit="1"/>
    </xf>
    <xf numFmtId="0" fontId="14" fillId="0" borderId="6" xfId="2" applyNumberFormat="1" applyFont="1" applyFill="1" applyBorder="1" applyAlignment="1">
      <alignment horizontal="distributed" vertical="center" wrapText="1" shrinkToFit="1"/>
    </xf>
    <xf numFmtId="41" fontId="14" fillId="0" borderId="7" xfId="2" applyFont="1" applyFill="1" applyBorder="1" applyAlignment="1">
      <alignment horizontal="right" vertical="center" wrapText="1" shrinkToFit="1"/>
    </xf>
    <xf numFmtId="0" fontId="11" fillId="0" borderId="0" xfId="0" applyFont="1" applyFill="1" applyAlignment="1">
      <alignment vertical="center" wrapText="1" shrinkToFit="1"/>
    </xf>
    <xf numFmtId="0" fontId="6" fillId="0" borderId="3" xfId="0" applyFont="1" applyFill="1" applyBorder="1" applyAlignment="1">
      <alignment vertical="center" wrapText="1" shrinkToFit="1"/>
    </xf>
    <xf numFmtId="0" fontId="12" fillId="0" borderId="0" xfId="0" applyFont="1" applyFill="1" applyAlignment="1">
      <alignment vertical="center" wrapText="1" shrinkToFit="1"/>
    </xf>
    <xf numFmtId="41" fontId="9" fillId="0" borderId="3" xfId="2" applyFont="1" applyFill="1" applyBorder="1" applyAlignment="1">
      <alignment horizontal="right" vertical="center" wrapText="1" shrinkToFit="1"/>
    </xf>
    <xf numFmtId="0" fontId="15" fillId="0" borderId="8" xfId="0" applyFont="1" applyFill="1" applyBorder="1" applyAlignment="1">
      <alignment horizontal="left" vertical="center" wrapText="1"/>
    </xf>
    <xf numFmtId="41" fontId="15" fillId="0" borderId="0" xfId="2" applyFont="1" applyFill="1" applyAlignment="1">
      <alignment horizontal="right" vertical="center" wrapText="1" shrinkToFit="1"/>
    </xf>
    <xf numFmtId="0" fontId="15" fillId="0" borderId="0" xfId="0" applyFont="1" applyFill="1" applyAlignment="1">
      <alignment horizontal="left" vertical="center" wrapText="1" shrinkToFit="1"/>
    </xf>
    <xf numFmtId="49" fontId="15" fillId="0" borderId="0" xfId="0" applyNumberFormat="1" applyFont="1" applyFill="1" applyAlignment="1">
      <alignment horizontal="right" vertical="center" wrapText="1" shrinkToFit="1"/>
    </xf>
    <xf numFmtId="0" fontId="15" fillId="0" borderId="0" xfId="0" applyFont="1" applyFill="1" applyAlignment="1">
      <alignment horizontal="distributed" vertical="center" wrapText="1" shrinkToFit="1"/>
    </xf>
    <xf numFmtId="0" fontId="15" fillId="0" borderId="0" xfId="0" applyFont="1" applyFill="1" applyAlignment="1">
      <alignment horizontal="right" vertical="center" wrapText="1" shrinkToFit="1"/>
    </xf>
    <xf numFmtId="41" fontId="15" fillId="0" borderId="5" xfId="2" applyFont="1" applyFill="1" applyBorder="1" applyAlignment="1">
      <alignment horizontal="right" vertical="center" wrapText="1" shrinkToFit="1"/>
    </xf>
    <xf numFmtId="0" fontId="13" fillId="0" borderId="0" xfId="0" applyFont="1" applyFill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horizontal="left" vertical="center" shrinkToFit="1"/>
    </xf>
    <xf numFmtId="41" fontId="15" fillId="0" borderId="0" xfId="2" applyFont="1" applyFill="1" applyBorder="1" applyAlignment="1">
      <alignment horizontal="righ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49" fontId="15" fillId="0" borderId="0" xfId="0" applyNumberFormat="1" applyFont="1" applyFill="1" applyBorder="1" applyAlignment="1">
      <alignment horizontal="right" vertical="center" wrapText="1" shrinkToFit="1"/>
    </xf>
    <xf numFmtId="0" fontId="15" fillId="0" borderId="0" xfId="0" applyFont="1" applyFill="1" applyBorder="1" applyAlignment="1">
      <alignment horizontal="distributed" vertical="center" wrapText="1" shrinkToFit="1"/>
    </xf>
    <xf numFmtId="0" fontId="15" fillId="0" borderId="0" xfId="0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23" fillId="0" borderId="14" xfId="0" applyFont="1" applyFill="1" applyBorder="1" applyAlignment="1">
      <alignment horizontal="left" vertical="center" wrapText="1" shrinkToFit="1"/>
    </xf>
    <xf numFmtId="49" fontId="23" fillId="0" borderId="14" xfId="0" applyNumberFormat="1" applyFont="1" applyFill="1" applyBorder="1" applyAlignment="1">
      <alignment horizontal="right" vertical="center" wrapText="1" shrinkToFit="1"/>
    </xf>
    <xf numFmtId="0" fontId="23" fillId="0" borderId="14" xfId="0" applyFont="1" applyFill="1" applyBorder="1" applyAlignment="1">
      <alignment horizontal="distributed" vertical="center" wrapText="1" shrinkToFit="1"/>
    </xf>
    <xf numFmtId="0" fontId="23" fillId="0" borderId="14" xfId="0" applyFont="1" applyFill="1" applyBorder="1" applyAlignment="1">
      <alignment horizontal="right" vertical="center" wrapText="1" shrinkToFit="1"/>
    </xf>
    <xf numFmtId="0" fontId="23" fillId="0" borderId="0" xfId="0" applyFont="1" applyFill="1" applyAlignment="1">
      <alignment horizontal="distributed" vertical="center" wrapText="1" shrinkToFit="1"/>
    </xf>
    <xf numFmtId="0" fontId="17" fillId="0" borderId="0" xfId="0" applyNumberFormat="1" applyFont="1" applyFill="1" applyAlignment="1">
      <alignment horizontal="right"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vertical="center" wrapText="1" shrinkToFit="1"/>
    </xf>
    <xf numFmtId="41" fontId="6" fillId="0" borderId="2" xfId="2" applyFont="1" applyFill="1" applyBorder="1" applyAlignment="1">
      <alignment horizontal="right" vertical="center" wrapText="1" shrinkToFit="1"/>
    </xf>
    <xf numFmtId="0" fontId="23" fillId="0" borderId="0" xfId="0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right" vertical="center" wrapText="1" shrinkToFit="1"/>
    </xf>
    <xf numFmtId="0" fontId="23" fillId="0" borderId="0" xfId="0" applyFont="1" applyFill="1" applyAlignment="1">
      <alignment horizontal="right"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horizontal="left" vertical="center" shrinkToFit="1"/>
    </xf>
    <xf numFmtId="41" fontId="14" fillId="0" borderId="0" xfId="2" applyFont="1" applyFill="1" applyBorder="1" applyAlignment="1">
      <alignment horizontal="right" vertical="center" wrapText="1" shrinkToFit="1"/>
    </xf>
    <xf numFmtId="0" fontId="17" fillId="0" borderId="0" xfId="0" applyFont="1" applyFill="1" applyBorder="1" applyAlignment="1">
      <alignment horizontal="distributed" vertical="center" wrapText="1" shrinkToFit="1"/>
    </xf>
    <xf numFmtId="0" fontId="17" fillId="0" borderId="0" xfId="0" applyNumberFormat="1" applyFont="1" applyFill="1" applyBorder="1" applyAlignment="1">
      <alignment horizontal="right" vertical="center" wrapText="1" shrinkToFit="1"/>
    </xf>
    <xf numFmtId="0" fontId="23" fillId="0" borderId="8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center" wrapText="1" shrinkToFit="1"/>
    </xf>
    <xf numFmtId="0" fontId="17" fillId="0" borderId="6" xfId="0" applyNumberFormat="1" applyFont="1" applyFill="1" applyBorder="1" applyAlignment="1">
      <alignment horizontal="right" vertical="center" wrapText="1" shrinkToFit="1"/>
    </xf>
    <xf numFmtId="0" fontId="17" fillId="0" borderId="6" xfId="0" applyFont="1" applyFill="1" applyBorder="1" applyAlignment="1">
      <alignment horizontal="distributed" vertical="center" wrapText="1" shrinkToFit="1"/>
    </xf>
    <xf numFmtId="0" fontId="17" fillId="0" borderId="6" xfId="0" applyFont="1" applyFill="1" applyBorder="1" applyAlignment="1">
      <alignment horizontal="right" vertical="center" wrapText="1" shrinkToFit="1"/>
    </xf>
    <xf numFmtId="49" fontId="17" fillId="0" borderId="6" xfId="0" applyNumberFormat="1" applyFont="1" applyFill="1" applyBorder="1" applyAlignment="1">
      <alignment horizontal="right" vertical="center" wrapText="1" shrinkToFit="1"/>
    </xf>
    <xf numFmtId="0" fontId="17" fillId="0" borderId="8" xfId="0" applyFont="1" applyFill="1" applyBorder="1" applyAlignment="1">
      <alignment horizontal="left" vertical="center" shrinkToFit="1"/>
    </xf>
    <xf numFmtId="49" fontId="17" fillId="0" borderId="6" xfId="2" applyNumberFormat="1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16" fillId="0" borderId="0" xfId="0" applyFont="1" applyFill="1" applyAlignment="1">
      <alignment vertical="center" wrapText="1" shrinkToFit="1"/>
    </xf>
    <xf numFmtId="0" fontId="9" fillId="0" borderId="3" xfId="0" applyFont="1" applyFill="1" applyBorder="1" applyAlignment="1">
      <alignment vertical="center" wrapText="1" shrinkToFit="1"/>
    </xf>
    <xf numFmtId="49" fontId="17" fillId="0" borderId="6" xfId="2" applyNumberFormat="1" applyFont="1" applyFill="1" applyBorder="1" applyAlignment="1">
      <alignment horizontal="center" vertical="center" wrapText="1" shrinkToFit="1"/>
    </xf>
    <xf numFmtId="41" fontId="9" fillId="0" borderId="2" xfId="2" applyFont="1" applyFill="1" applyBorder="1" applyAlignment="1">
      <alignment horizontal="right" vertical="center" wrapText="1" shrinkToFit="1"/>
    </xf>
    <xf numFmtId="0" fontId="6" fillId="0" borderId="4" xfId="0" applyFont="1" applyFill="1" applyBorder="1" applyAlignment="1">
      <alignment vertical="center" wrapText="1" shrinkToFit="1"/>
    </xf>
    <xf numFmtId="0" fontId="14" fillId="0" borderId="5" xfId="0" applyFont="1" applyFill="1" applyBorder="1" applyAlignment="1">
      <alignment vertical="center" wrapText="1" shrinkToFit="1"/>
    </xf>
    <xf numFmtId="0" fontId="23" fillId="0" borderId="9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right" vertical="center" wrapText="1" shrinkToFit="1"/>
    </xf>
    <xf numFmtId="41" fontId="23" fillId="0" borderId="6" xfId="2" applyFont="1" applyFill="1" applyBorder="1" applyAlignment="1">
      <alignment horizontal="right" vertical="center" wrapText="1" shrinkToFit="1"/>
    </xf>
    <xf numFmtId="0" fontId="23" fillId="0" borderId="6" xfId="2" applyNumberFormat="1" applyFont="1" applyFill="1" applyBorder="1" applyAlignment="1">
      <alignment horizontal="left" vertical="center" wrapText="1" shrinkToFit="1"/>
    </xf>
    <xf numFmtId="49" fontId="23" fillId="0" borderId="6" xfId="2" applyNumberFormat="1" applyFont="1" applyFill="1" applyBorder="1" applyAlignment="1">
      <alignment horizontal="right" vertical="center" wrapText="1" shrinkToFit="1"/>
    </xf>
    <xf numFmtId="0" fontId="23" fillId="0" borderId="6" xfId="2" applyNumberFormat="1" applyFont="1" applyFill="1" applyBorder="1" applyAlignment="1">
      <alignment horizontal="right" vertical="center" wrapText="1" shrinkToFit="1"/>
    </xf>
    <xf numFmtId="41" fontId="23" fillId="0" borderId="6" xfId="2" applyFont="1" applyFill="1" applyBorder="1" applyAlignment="1">
      <alignment horizontal="center" vertical="center" wrapText="1" shrinkToFit="1"/>
    </xf>
    <xf numFmtId="0" fontId="23" fillId="0" borderId="6" xfId="2" applyNumberFormat="1" applyFont="1" applyFill="1" applyBorder="1" applyAlignment="1">
      <alignment horizontal="distributed" vertical="center" wrapText="1" shrinkToFit="1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right" vertical="center" wrapText="1" shrinkToFit="1"/>
    </xf>
    <xf numFmtId="49" fontId="17" fillId="0" borderId="6" xfId="2" applyNumberFormat="1" applyFont="1" applyFill="1" applyBorder="1" applyAlignment="1">
      <alignment horizontal="left" vertical="center" wrapText="1" shrinkToFit="1"/>
    </xf>
    <xf numFmtId="49" fontId="17" fillId="0" borderId="6" xfId="2" applyNumberFormat="1" applyFont="1" applyFill="1" applyBorder="1" applyAlignment="1">
      <alignment horizontal="distributed" vertical="center" wrapText="1" shrinkToFit="1"/>
    </xf>
    <xf numFmtId="49" fontId="17" fillId="0" borderId="9" xfId="2" applyNumberFormat="1" applyFont="1" applyFill="1" applyBorder="1" applyAlignment="1">
      <alignment horizontal="left" vertical="center" wrapText="1" shrinkToFit="1"/>
    </xf>
    <xf numFmtId="49" fontId="17" fillId="0" borderId="9" xfId="2" applyNumberFormat="1" applyFont="1" applyFill="1" applyBorder="1" applyAlignment="1">
      <alignment horizontal="distributed" vertical="center" wrapText="1" shrinkToFit="1"/>
    </xf>
    <xf numFmtId="49" fontId="17" fillId="0" borderId="9" xfId="2" applyNumberFormat="1" applyFont="1" applyFill="1" applyBorder="1" applyAlignment="1">
      <alignment horizontal="right" vertical="center" wrapText="1" shrinkToFit="1"/>
    </xf>
    <xf numFmtId="49" fontId="17" fillId="0" borderId="0" xfId="2" applyNumberFormat="1" applyFont="1" applyFill="1" applyAlignment="1">
      <alignment horizontal="center" vertical="center" wrapText="1" shrinkToFit="1"/>
    </xf>
    <xf numFmtId="0" fontId="17" fillId="0" borderId="0" xfId="2" applyNumberFormat="1" applyFont="1" applyFill="1" applyAlignment="1">
      <alignment vertical="center" wrapText="1" shrinkToFit="1"/>
    </xf>
    <xf numFmtId="41" fontId="7" fillId="0" borderId="0" xfId="2" applyFont="1" applyFill="1" applyAlignment="1">
      <alignment horizontal="right" vertical="center" wrapText="1" shrinkToFit="1"/>
    </xf>
    <xf numFmtId="41" fontId="6" fillId="0" borderId="14" xfId="2" applyFont="1" applyFill="1" applyBorder="1" applyAlignment="1">
      <alignment horizontal="right" vertical="center" wrapText="1" shrinkToFit="1"/>
    </xf>
    <xf numFmtId="0" fontId="14" fillId="0" borderId="0" xfId="0" applyFont="1" applyFill="1" applyAlignment="1">
      <alignment horizontal="center" vertical="center" wrapText="1" shrinkToFit="1"/>
    </xf>
    <xf numFmtId="41" fontId="6" fillId="0" borderId="0" xfId="2" applyFont="1" applyFill="1" applyAlignment="1">
      <alignment horizontal="right" vertical="center" wrapText="1" shrinkToFit="1"/>
    </xf>
    <xf numFmtId="41" fontId="9" fillId="0" borderId="0" xfId="2" applyFont="1" applyFill="1" applyAlignment="1">
      <alignment horizontal="right" vertical="center" wrapText="1" shrinkToFit="1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distributed" vertical="center" wrapText="1" shrinkToFit="1"/>
    </xf>
    <xf numFmtId="41" fontId="23" fillId="6" borderId="5" xfId="2" applyFont="1" applyFill="1" applyBorder="1" applyAlignment="1">
      <alignment horizontal="right" vertical="center" wrapText="1" shrinkToFit="1"/>
    </xf>
    <xf numFmtId="49" fontId="17" fillId="0" borderId="14" xfId="0" applyNumberFormat="1" applyFont="1" applyFill="1" applyBorder="1" applyAlignment="1">
      <alignment horizontal="right" vertical="center" wrapText="1" shrinkToFit="1"/>
    </xf>
    <xf numFmtId="0" fontId="17" fillId="0" borderId="14" xfId="0" applyFont="1" applyFill="1" applyBorder="1" applyAlignment="1">
      <alignment horizontal="distributed" vertical="center" wrapText="1" shrinkToFit="1"/>
    </xf>
    <xf numFmtId="41" fontId="17" fillId="6" borderId="6" xfId="2" applyFont="1" applyFill="1" applyBorder="1" applyAlignment="1">
      <alignment horizontal="right" vertical="center" wrapText="1" shrinkToFit="1"/>
    </xf>
    <xf numFmtId="41" fontId="17" fillId="6" borderId="6" xfId="2" applyFont="1" applyFill="1" applyBorder="1" applyAlignment="1">
      <alignment horizontal="center" vertical="center" wrapText="1" shrinkToFit="1"/>
    </xf>
    <xf numFmtId="41" fontId="17" fillId="6" borderId="7" xfId="2" applyFont="1" applyFill="1" applyBorder="1" applyAlignment="1">
      <alignment horizontal="right" vertical="center" wrapText="1" shrinkToFit="1"/>
    </xf>
    <xf numFmtId="0" fontId="7" fillId="6" borderId="0" xfId="0" applyFont="1" applyFill="1" applyAlignment="1">
      <alignment vertical="center" wrapText="1" shrinkToFit="1"/>
    </xf>
    <xf numFmtId="0" fontId="12" fillId="6" borderId="0" xfId="0" applyFont="1" applyFill="1" applyAlignment="1">
      <alignment vertical="center" wrapText="1" shrinkToFit="1"/>
    </xf>
    <xf numFmtId="0" fontId="14" fillId="6" borderId="11" xfId="0" applyFont="1" applyFill="1" applyBorder="1" applyAlignment="1">
      <alignment horizontal="left" vertical="center" wrapText="1"/>
    </xf>
    <xf numFmtId="41" fontId="14" fillId="6" borderId="0" xfId="2" applyFont="1" applyFill="1" applyBorder="1" applyAlignment="1">
      <alignment horizontal="right" vertical="center" wrapText="1" shrinkToFit="1"/>
    </xf>
    <xf numFmtId="49" fontId="14" fillId="6" borderId="0" xfId="0" applyNumberFormat="1" applyFont="1" applyFill="1" applyBorder="1" applyAlignment="1">
      <alignment horizontal="center" vertical="center" wrapText="1" shrinkToFit="1"/>
    </xf>
    <xf numFmtId="0" fontId="14" fillId="6" borderId="0" xfId="0" applyFont="1" applyFill="1" applyBorder="1" applyAlignment="1">
      <alignment horizontal="left" vertical="center" wrapText="1" shrinkToFit="1"/>
    </xf>
    <xf numFmtId="0" fontId="13" fillId="6" borderId="0" xfId="0" applyFont="1" applyFill="1" applyAlignment="1">
      <alignment vertical="center" wrapText="1" shrinkToFit="1"/>
    </xf>
    <xf numFmtId="0" fontId="10" fillId="6" borderId="12" xfId="0" applyFont="1" applyFill="1" applyBorder="1" applyAlignment="1">
      <alignment vertical="center" wrapText="1" shrinkToFit="1"/>
    </xf>
    <xf numFmtId="0" fontId="10" fillId="6" borderId="10" xfId="0" applyFont="1" applyFill="1" applyBorder="1" applyAlignment="1">
      <alignment vertical="center" wrapText="1" shrinkToFit="1"/>
    </xf>
    <xf numFmtId="178" fontId="10" fillId="6" borderId="2" xfId="2" applyNumberFormat="1" applyFont="1" applyFill="1" applyBorder="1" applyAlignment="1">
      <alignment horizontal="right" vertical="center" wrapText="1" shrinkToFit="1"/>
    </xf>
    <xf numFmtId="0" fontId="14" fillId="6" borderId="1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1" fontId="14" fillId="0" borderId="0" xfId="2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49" fontId="14" fillId="0" borderId="0" xfId="0" applyNumberFormat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distributed" vertical="center" wrapText="1" shrinkToFit="1"/>
    </xf>
    <xf numFmtId="0" fontId="10" fillId="6" borderId="2" xfId="0" applyFont="1" applyFill="1" applyBorder="1" applyAlignment="1">
      <alignment vertical="center" wrapText="1" shrinkToFit="1"/>
    </xf>
    <xf numFmtId="41" fontId="14" fillId="6" borderId="9" xfId="2" applyFont="1" applyFill="1" applyBorder="1" applyAlignment="1">
      <alignment horizontal="right" vertical="center" wrapText="1" shrinkToFit="1"/>
    </xf>
    <xf numFmtId="0" fontId="14" fillId="6" borderId="9" xfId="0" applyFont="1" applyFill="1" applyBorder="1" applyAlignment="1">
      <alignment horizontal="left" vertical="center" wrapText="1" shrinkToFit="1"/>
    </xf>
    <xf numFmtId="49" fontId="14" fillId="6" borderId="9" xfId="0" applyNumberFormat="1" applyFont="1" applyFill="1" applyBorder="1" applyAlignment="1">
      <alignment horizontal="center" vertical="center" wrapText="1" shrinkToFit="1"/>
    </xf>
    <xf numFmtId="0" fontId="14" fillId="6" borderId="9" xfId="0" applyFont="1" applyFill="1" applyBorder="1" applyAlignment="1">
      <alignment horizontal="distributed" vertical="center" wrapText="1" shrinkToFit="1"/>
    </xf>
    <xf numFmtId="41" fontId="14" fillId="6" borderId="10" xfId="2" applyFont="1" applyFill="1" applyBorder="1" applyAlignment="1">
      <alignment horizontal="right" vertical="center" wrapText="1" shrinkToFit="1"/>
    </xf>
    <xf numFmtId="0" fontId="16" fillId="6" borderId="0" xfId="0" applyFont="1" applyFill="1" applyAlignment="1">
      <alignment vertical="center" wrapText="1" shrinkToFit="1"/>
    </xf>
    <xf numFmtId="0" fontId="17" fillId="0" borderId="0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vertical="center" wrapText="1" shrinkToFit="1"/>
    </xf>
    <xf numFmtId="0" fontId="10" fillId="0" borderId="0" xfId="0" applyFont="1" applyFill="1" applyAlignment="1">
      <alignment vertical="center" wrapText="1" shrinkToFit="1"/>
    </xf>
    <xf numFmtId="0" fontId="1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23" fillId="7" borderId="11" xfId="0" applyFont="1" applyFill="1" applyBorder="1" applyAlignment="1">
      <alignment horizontal="left" vertical="center" shrinkToFit="1"/>
    </xf>
    <xf numFmtId="41" fontId="23" fillId="7" borderId="0" xfId="2" applyFont="1" applyFill="1" applyAlignment="1">
      <alignment horizontal="right" vertical="center" wrapText="1" shrinkToFit="1"/>
    </xf>
    <xf numFmtId="0" fontId="23" fillId="7" borderId="0" xfId="0" applyFont="1" applyFill="1" applyAlignment="1">
      <alignment horizontal="left" vertical="center" wrapText="1" shrinkToFit="1"/>
    </xf>
    <xf numFmtId="49" fontId="23" fillId="7" borderId="0" xfId="0" applyNumberFormat="1" applyFont="1" applyFill="1" applyAlignment="1">
      <alignment horizontal="right" vertical="center" wrapText="1" shrinkToFit="1"/>
    </xf>
    <xf numFmtId="0" fontId="23" fillId="7" borderId="0" xfId="0" applyFont="1" applyFill="1" applyAlignment="1">
      <alignment horizontal="distributed" vertical="center" wrapText="1" shrinkToFit="1"/>
    </xf>
    <xf numFmtId="0" fontId="23" fillId="7" borderId="0" xfId="0" applyFont="1" applyFill="1" applyAlignment="1">
      <alignment horizontal="right" vertical="center" wrapText="1" shrinkToFit="1"/>
    </xf>
    <xf numFmtId="41" fontId="23" fillId="7" borderId="5" xfId="2" applyFont="1" applyFill="1" applyBorder="1" applyAlignment="1">
      <alignment horizontal="right" vertical="center" wrapText="1" shrinkToFit="1"/>
    </xf>
    <xf numFmtId="0" fontId="23" fillId="7" borderId="0" xfId="0" applyFont="1" applyFill="1" applyAlignment="1">
      <alignment horizontal="left" vertical="center" wrapText="1"/>
    </xf>
    <xf numFmtId="41" fontId="17" fillId="7" borderId="0" xfId="2" applyFont="1" applyFill="1" applyAlignment="1">
      <alignment horizontal="right" vertical="center" wrapText="1" shrinkToFit="1"/>
    </xf>
    <xf numFmtId="0" fontId="17" fillId="7" borderId="0" xfId="0" applyFont="1" applyFill="1" applyAlignment="1">
      <alignment horizontal="left" vertical="center" wrapText="1" shrinkToFit="1"/>
    </xf>
    <xf numFmtId="49" fontId="17" fillId="7" borderId="0" xfId="0" applyNumberFormat="1" applyFont="1" applyFill="1" applyAlignment="1">
      <alignment horizontal="right" vertical="center" wrapText="1" shrinkToFit="1"/>
    </xf>
    <xf numFmtId="0" fontId="17" fillId="7" borderId="0" xfId="0" applyFont="1" applyFill="1" applyAlignment="1">
      <alignment horizontal="distributed" vertical="center" wrapText="1" shrinkToFit="1"/>
    </xf>
    <xf numFmtId="0" fontId="17" fillId="7" borderId="0" xfId="0" applyFont="1" applyFill="1" applyAlignment="1">
      <alignment horizontal="right" vertical="center" wrapText="1" shrinkToFit="1"/>
    </xf>
    <xf numFmtId="0" fontId="9" fillId="0" borderId="13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41" fontId="30" fillId="0" borderId="9" xfId="0" applyNumberFormat="1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vertical="center" wrapText="1" shrinkToFit="1"/>
    </xf>
    <xf numFmtId="41" fontId="8" fillId="4" borderId="1" xfId="2" applyFont="1" applyFill="1" applyBorder="1" applyAlignment="1">
      <alignment horizontal="right" vertical="center" wrapText="1" shrinkToFit="1"/>
    </xf>
    <xf numFmtId="41" fontId="8" fillId="2" borderId="1" xfId="2" applyFont="1" applyFill="1" applyBorder="1" applyAlignment="1">
      <alignment horizontal="right" vertical="center" wrapText="1" shrinkToFit="1"/>
    </xf>
    <xf numFmtId="41" fontId="3" fillId="0" borderId="0" xfId="1"/>
    <xf numFmtId="0" fontId="7" fillId="8" borderId="0" xfId="0" applyFont="1" applyFill="1" applyAlignment="1">
      <alignment vertical="center" wrapText="1" shrinkToFit="1"/>
    </xf>
    <xf numFmtId="0" fontId="17" fillId="0" borderId="11" xfId="0" applyFont="1" applyFill="1" applyBorder="1" applyAlignment="1">
      <alignment horizontal="left" vertical="center" shrinkToFit="1"/>
    </xf>
    <xf numFmtId="41" fontId="13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31" fillId="0" borderId="0" xfId="0" applyFont="1" applyAlignment="1">
      <alignment vertical="center" wrapText="1" shrinkToFit="1"/>
    </xf>
    <xf numFmtId="180" fontId="9" fillId="9" borderId="1" xfId="0" applyNumberFormat="1" applyFont="1" applyFill="1" applyBorder="1" applyAlignment="1">
      <alignment horizontal="right" vertical="center" wrapText="1" shrinkToFit="1"/>
    </xf>
    <xf numFmtId="180" fontId="9" fillId="9" borderId="1" xfId="0" applyNumberFormat="1" applyFont="1" applyFill="1" applyBorder="1" applyAlignment="1">
      <alignment vertical="center" wrapText="1" shrinkToFit="1"/>
    </xf>
    <xf numFmtId="180" fontId="31" fillId="0" borderId="0" xfId="0" applyNumberFormat="1" applyFont="1" applyAlignment="1">
      <alignment vertical="center" wrapText="1" shrinkToFit="1"/>
    </xf>
    <xf numFmtId="0" fontId="32" fillId="0" borderId="0" xfId="0" applyFont="1" applyAlignment="1">
      <alignment vertical="center" wrapText="1" shrinkToFit="1"/>
    </xf>
    <xf numFmtId="9" fontId="32" fillId="0" borderId="0" xfId="0" applyNumberFormat="1" applyFont="1" applyAlignment="1">
      <alignment vertical="center" wrapText="1" shrinkToFit="1"/>
    </xf>
    <xf numFmtId="0" fontId="33" fillId="0" borderId="0" xfId="0" applyFont="1" applyAlignment="1">
      <alignment vertical="center" wrapText="1" shrinkToFit="1"/>
    </xf>
    <xf numFmtId="41" fontId="2" fillId="0" borderId="0" xfId="1" applyFont="1"/>
    <xf numFmtId="41" fontId="33" fillId="0" borderId="0" xfId="0" applyNumberFormat="1" applyFont="1" applyAlignment="1">
      <alignment vertical="center" wrapText="1" shrinkToFit="1"/>
    </xf>
    <xf numFmtId="0" fontId="33" fillId="0" borderId="0" xfId="0" applyFont="1" applyFill="1" applyAlignment="1">
      <alignment vertical="center" wrapText="1" shrinkToFit="1"/>
    </xf>
    <xf numFmtId="0" fontId="33" fillId="6" borderId="0" xfId="0" applyFont="1" applyFill="1" applyAlignment="1">
      <alignment vertical="center" wrapText="1" shrinkToFit="1"/>
    </xf>
    <xf numFmtId="0" fontId="32" fillId="6" borderId="0" xfId="0" applyFont="1" applyFill="1" applyAlignment="1">
      <alignment vertical="center" wrapText="1" shrinkToFit="1"/>
    </xf>
    <xf numFmtId="0" fontId="33" fillId="0" borderId="0" xfId="0" applyFont="1" applyFill="1" applyAlignment="1">
      <alignment horizontal="left" vertical="center" wrapText="1" indent="1" shrinkToFi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7" xfId="0" applyFont="1" applyFill="1" applyBorder="1" applyAlignment="1">
      <alignment horizontal="left" vertical="center" wrapText="1" shrinkToFit="1"/>
    </xf>
    <xf numFmtId="0" fontId="17" fillId="0" borderId="6" xfId="0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 shrinkToFit="1"/>
    </xf>
    <xf numFmtId="176" fontId="17" fillId="0" borderId="6" xfId="0" applyNumberFormat="1" applyFont="1" applyFill="1" applyBorder="1" applyAlignment="1">
      <alignment horizontal="distributed" vertical="center" wrapText="1" shrinkToFit="1"/>
    </xf>
    <xf numFmtId="178" fontId="8" fillId="0" borderId="1" xfId="2" applyNumberFormat="1" applyFont="1" applyFill="1" applyBorder="1" applyAlignment="1">
      <alignment horizontal="right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vertical="center" wrapText="1" shrinkToFit="1"/>
    </xf>
    <xf numFmtId="0" fontId="6" fillId="6" borderId="0" xfId="0" applyFont="1" applyFill="1" applyAlignment="1">
      <alignment horizontal="left" vertical="center" wrapText="1" indent="1" shrinkToFit="1"/>
    </xf>
    <xf numFmtId="41" fontId="35" fillId="0" borderId="0" xfId="1" applyFont="1"/>
    <xf numFmtId="0" fontId="33" fillId="8" borderId="17" xfId="0" applyFont="1" applyFill="1" applyBorder="1" applyAlignment="1">
      <alignment horizontal="right" vertical="center" wrapText="1" shrinkToFit="1"/>
    </xf>
    <xf numFmtId="0" fontId="33" fillId="8" borderId="18" xfId="0" applyFont="1" applyFill="1" applyBorder="1" applyAlignment="1">
      <alignment vertical="center" wrapText="1" shrinkToFit="1"/>
    </xf>
    <xf numFmtId="179" fontId="33" fillId="8" borderId="18" xfId="0" applyNumberFormat="1" applyFont="1" applyFill="1" applyBorder="1" applyAlignment="1">
      <alignment horizontal="left" vertical="center" wrapText="1" indent="1" shrinkToFit="1"/>
    </xf>
    <xf numFmtId="41" fontId="2" fillId="8" borderId="19" xfId="1" applyFont="1" applyFill="1" applyBorder="1" applyAlignment="1">
      <alignment horizontal="left" indent="1"/>
    </xf>
    <xf numFmtId="0" fontId="33" fillId="0" borderId="22" xfId="0" applyFont="1" applyBorder="1" applyAlignment="1">
      <alignment vertical="center" wrapText="1" shrinkToFit="1"/>
    </xf>
    <xf numFmtId="0" fontId="33" fillId="0" borderId="16" xfId="0" applyFont="1" applyBorder="1" applyAlignment="1">
      <alignment horizontal="right" vertical="center" wrapText="1" indent="1" shrinkToFit="1"/>
    </xf>
    <xf numFmtId="43" fontId="33" fillId="0" borderId="16" xfId="0" applyNumberFormat="1" applyFont="1" applyBorder="1" applyAlignment="1">
      <alignment horizontal="left" vertical="center" wrapText="1" indent="1" shrinkToFit="1"/>
    </xf>
    <xf numFmtId="41" fontId="33" fillId="0" borderId="23" xfId="0" applyNumberFormat="1" applyFont="1" applyBorder="1" applyAlignment="1">
      <alignment horizontal="right" vertical="center" wrapText="1" indent="1" shrinkToFit="1"/>
    </xf>
    <xf numFmtId="0" fontId="33" fillId="0" borderId="17" xfId="0" applyFont="1" applyBorder="1" applyAlignment="1">
      <alignment vertical="center" wrapText="1" shrinkToFit="1"/>
    </xf>
    <xf numFmtId="0" fontId="33" fillId="0" borderId="18" xfId="0" applyFont="1" applyBorder="1" applyAlignment="1">
      <alignment vertical="center" wrapText="1" shrinkToFit="1"/>
    </xf>
    <xf numFmtId="41" fontId="2" fillId="0" borderId="18" xfId="1" applyFont="1" applyBorder="1" applyAlignment="1">
      <alignment horizontal="right"/>
    </xf>
    <xf numFmtId="179" fontId="33" fillId="0" borderId="19" xfId="0" applyNumberFormat="1" applyFont="1" applyBorder="1" applyAlignment="1">
      <alignment horizontal="right" vertical="center" wrapText="1" shrinkToFit="1"/>
    </xf>
    <xf numFmtId="0" fontId="33" fillId="8" borderId="20" xfId="0" applyFont="1" applyFill="1" applyBorder="1" applyAlignment="1">
      <alignment vertical="center" wrapText="1" shrinkToFit="1"/>
    </xf>
    <xf numFmtId="0" fontId="33" fillId="8" borderId="0" xfId="0" applyFont="1" applyFill="1" applyBorder="1" applyAlignment="1">
      <alignment horizontal="right" vertical="center" wrapText="1" shrinkToFit="1"/>
    </xf>
    <xf numFmtId="41" fontId="33" fillId="8" borderId="0" xfId="0" applyNumberFormat="1" applyFont="1" applyFill="1" applyBorder="1" applyAlignment="1">
      <alignment horizontal="right" vertical="center" wrapText="1" shrinkToFit="1"/>
    </xf>
    <xf numFmtId="41" fontId="2" fillId="8" borderId="21" xfId="1" applyFont="1" applyFill="1" applyBorder="1"/>
    <xf numFmtId="0" fontId="31" fillId="0" borderId="20" xfId="0" applyFont="1" applyFill="1" applyBorder="1" applyAlignment="1">
      <alignment vertical="center" wrapText="1" shrinkToFit="1"/>
    </xf>
    <xf numFmtId="0" fontId="31" fillId="0" borderId="0" xfId="0" applyFont="1" applyFill="1" applyBorder="1" applyAlignment="1">
      <alignment vertical="center" wrapText="1" shrinkToFit="1"/>
    </xf>
    <xf numFmtId="0" fontId="31" fillId="0" borderId="21" xfId="0" applyFont="1" applyFill="1" applyBorder="1" applyAlignment="1">
      <alignment vertical="center" wrapText="1" shrinkToFit="1"/>
    </xf>
    <xf numFmtId="0" fontId="32" fillId="0" borderId="20" xfId="0" applyFont="1" applyFill="1" applyBorder="1" applyAlignment="1">
      <alignment vertical="center" wrapText="1" shrinkToFit="1"/>
    </xf>
    <xf numFmtId="0" fontId="32" fillId="0" borderId="0" xfId="0" applyFont="1" applyFill="1" applyBorder="1" applyAlignment="1">
      <alignment vertical="center" wrapText="1" shrinkToFit="1"/>
    </xf>
    <xf numFmtId="0" fontId="32" fillId="0" borderId="21" xfId="0" applyFont="1" applyFill="1" applyBorder="1" applyAlignment="1">
      <alignment vertical="center" wrapText="1" shrinkToFit="1"/>
    </xf>
    <xf numFmtId="0" fontId="33" fillId="0" borderId="20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33" fillId="0" borderId="21" xfId="0" applyFont="1" applyFill="1" applyBorder="1" applyAlignment="1">
      <alignment vertical="center" wrapText="1" shrinkToFit="1"/>
    </xf>
    <xf numFmtId="41" fontId="33" fillId="8" borderId="21" xfId="0" applyNumberFormat="1" applyFont="1" applyFill="1" applyBorder="1" applyAlignment="1">
      <alignment horizontal="right" vertical="center" wrapText="1" shrinkToFit="1"/>
    </xf>
    <xf numFmtId="9" fontId="33" fillId="0" borderId="16" xfId="0" applyNumberFormat="1" applyFont="1" applyBorder="1" applyAlignment="1">
      <alignment vertical="center" wrapText="1" shrinkToFit="1"/>
    </xf>
    <xf numFmtId="41" fontId="2" fillId="0" borderId="16" xfId="1" applyFont="1" applyBorder="1"/>
    <xf numFmtId="0" fontId="32" fillId="0" borderId="22" xfId="0" applyFont="1" applyBorder="1" applyAlignment="1">
      <alignment vertical="center" wrapText="1" shrinkToFit="1"/>
    </xf>
    <xf numFmtId="41" fontId="2" fillId="0" borderId="16" xfId="1" applyFont="1" applyBorder="1" applyAlignment="1">
      <alignment horizontal="right"/>
    </xf>
    <xf numFmtId="9" fontId="31" fillId="0" borderId="0" xfId="0" applyNumberFormat="1" applyFont="1" applyFill="1" applyBorder="1" applyAlignment="1">
      <alignment vertical="center" wrapText="1" shrinkToFit="1"/>
    </xf>
    <xf numFmtId="43" fontId="31" fillId="0" borderId="0" xfId="0" applyNumberFormat="1" applyFont="1" applyFill="1" applyBorder="1" applyAlignment="1">
      <alignment vertical="center" wrapText="1" shrinkToFit="1"/>
    </xf>
    <xf numFmtId="41" fontId="32" fillId="0" borderId="16" xfId="0" applyNumberFormat="1" applyFont="1" applyBorder="1" applyAlignment="1">
      <alignment vertical="center" wrapText="1" shrinkToFit="1"/>
    </xf>
    <xf numFmtId="43" fontId="32" fillId="0" borderId="23" xfId="0" applyNumberFormat="1" applyFont="1" applyBorder="1" applyAlignment="1">
      <alignment horizontal="right" vertical="center" wrapText="1" shrinkToFit="1"/>
    </xf>
    <xf numFmtId="41" fontId="33" fillId="0" borderId="23" xfId="0" applyNumberFormat="1" applyFont="1" applyBorder="1" applyAlignment="1">
      <alignment horizontal="right" vertical="center" wrapText="1" shrinkToFit="1"/>
    </xf>
    <xf numFmtId="41" fontId="2" fillId="0" borderId="19" xfId="1" applyFont="1" applyBorder="1" applyAlignment="1">
      <alignment horizontal="right"/>
    </xf>
    <xf numFmtId="0" fontId="6" fillId="0" borderId="12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17" fillId="0" borderId="9" xfId="2" applyNumberFormat="1" applyFont="1" applyFill="1" applyBorder="1" applyAlignment="1">
      <alignment horizontal="center" vertical="center" wrapText="1" shrinkToFit="1"/>
    </xf>
    <xf numFmtId="49" fontId="17" fillId="0" borderId="9" xfId="2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vertical="center" wrapText="1" shrinkToFit="1"/>
    </xf>
    <xf numFmtId="0" fontId="9" fillId="0" borderId="5" xfId="0" applyFont="1" applyFill="1" applyBorder="1" applyAlignment="1">
      <alignment vertical="center" wrapText="1" shrinkToFit="1"/>
    </xf>
    <xf numFmtId="0" fontId="17" fillId="0" borderId="6" xfId="2" applyNumberFormat="1" applyFont="1" applyFill="1" applyBorder="1" applyAlignment="1">
      <alignment horizontal="right" vertical="center" wrapText="1" shrinkToFit="1"/>
    </xf>
    <xf numFmtId="0" fontId="17" fillId="0" borderId="0" xfId="2" applyNumberFormat="1" applyFont="1" applyFill="1" applyAlignment="1">
      <alignment horizontal="right" vertical="center" wrapText="1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9" fillId="0" borderId="12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17" fillId="0" borderId="9" xfId="2" applyNumberFormat="1" applyFont="1" applyFill="1" applyBorder="1" applyAlignment="1">
      <alignment horizontal="right" vertical="center" wrapText="1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wrapText="1"/>
    </xf>
    <xf numFmtId="178" fontId="6" fillId="0" borderId="3" xfId="2" applyNumberFormat="1" applyFont="1" applyFill="1" applyBorder="1" applyAlignment="1">
      <alignment horizontal="right" vertical="center" wrapText="1" shrinkToFit="1"/>
    </xf>
    <xf numFmtId="0" fontId="15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left" vertical="center" wrapText="1"/>
    </xf>
    <xf numFmtId="178" fontId="6" fillId="0" borderId="2" xfId="2" applyNumberFormat="1" applyFont="1" applyFill="1" applyBorder="1" applyAlignment="1">
      <alignment horizontal="right" vertical="center" wrapText="1" shrinkToFi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 shrinkToFi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distributed" vertical="center" wrapText="1" shrinkToFit="1"/>
    </xf>
    <xf numFmtId="0" fontId="14" fillId="10" borderId="0" xfId="0" applyFont="1" applyFill="1" applyAlignment="1">
      <alignment horizontal="left" vertical="center" wrapText="1"/>
    </xf>
    <xf numFmtId="41" fontId="14" fillId="10" borderId="0" xfId="2" applyFont="1" applyFill="1" applyAlignment="1">
      <alignment horizontal="right" vertical="center" wrapText="1" shrinkToFit="1"/>
    </xf>
    <xf numFmtId="0" fontId="14" fillId="10" borderId="0" xfId="0" applyFont="1" applyFill="1" applyAlignment="1">
      <alignment horizontal="left" vertical="center" wrapText="1" shrinkToFit="1"/>
    </xf>
    <xf numFmtId="49" fontId="14" fillId="10" borderId="0" xfId="0" applyNumberFormat="1" applyFont="1" applyFill="1" applyAlignment="1">
      <alignment horizontal="center" vertical="center" wrapText="1" shrinkToFit="1"/>
    </xf>
    <xf numFmtId="0" fontId="14" fillId="10" borderId="0" xfId="0" applyFont="1" applyFill="1" applyAlignment="1">
      <alignment horizontal="distributed" vertical="center" wrapText="1" shrinkToFit="1"/>
    </xf>
    <xf numFmtId="41" fontId="14" fillId="10" borderId="5" xfId="2" applyFont="1" applyFill="1" applyBorder="1" applyAlignment="1">
      <alignment horizontal="right" vertical="center" wrapText="1" shrinkToFit="1"/>
    </xf>
    <xf numFmtId="0" fontId="14" fillId="6" borderId="0" xfId="0" applyFont="1" applyFill="1" applyBorder="1" applyAlignment="1">
      <alignment horizontal="distributed" vertical="center" wrapText="1" shrinkToFit="1"/>
    </xf>
    <xf numFmtId="0" fontId="33" fillId="0" borderId="0" xfId="0" applyFont="1" applyBorder="1" applyAlignment="1">
      <alignment vertical="center" wrapText="1" shrinkToFit="1"/>
    </xf>
    <xf numFmtId="9" fontId="33" fillId="0" borderId="0" xfId="0" applyNumberFormat="1" applyFont="1" applyBorder="1" applyAlignment="1">
      <alignment vertical="center" wrapText="1" shrinkToFit="1"/>
    </xf>
    <xf numFmtId="41" fontId="2" fillId="0" borderId="0" xfId="1" applyFont="1" applyBorder="1"/>
    <xf numFmtId="41" fontId="33" fillId="0" borderId="0" xfId="0" applyNumberFormat="1" applyFont="1" applyBorder="1" applyAlignment="1">
      <alignment horizontal="right" vertical="center" wrapText="1" shrinkToFit="1"/>
    </xf>
    <xf numFmtId="41" fontId="17" fillId="0" borderId="0" xfId="2" applyFont="1" applyBorder="1" applyAlignment="1">
      <alignment horizontal="right" vertical="center" wrapText="1" shrinkToFit="1"/>
    </xf>
    <xf numFmtId="0" fontId="17" fillId="0" borderId="0" xfId="0" applyFont="1" applyBorder="1" applyAlignment="1">
      <alignment horizontal="left" vertical="center" wrapText="1" shrinkToFit="1"/>
    </xf>
    <xf numFmtId="49" fontId="17" fillId="0" borderId="0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distributed" vertical="center" wrapText="1" shrinkToFit="1"/>
    </xf>
    <xf numFmtId="41" fontId="9" fillId="0" borderId="4" xfId="2" applyFont="1" applyFill="1" applyBorder="1" applyAlignment="1">
      <alignment horizontal="right" vertical="center" wrapText="1" shrinkToFit="1"/>
    </xf>
    <xf numFmtId="49" fontId="17" fillId="0" borderId="14" xfId="2" applyNumberFormat="1" applyFont="1" applyFill="1" applyBorder="1" applyAlignment="1">
      <alignment horizontal="right" vertical="center" wrapText="1" shrinkToFit="1"/>
    </xf>
    <xf numFmtId="41" fontId="9" fillId="0" borderId="9" xfId="2" applyFont="1" applyFill="1" applyBorder="1" applyAlignment="1">
      <alignment horizontal="right" vertical="center" wrapText="1" shrinkToFit="1"/>
    </xf>
    <xf numFmtId="49" fontId="17" fillId="0" borderId="0" xfId="2" applyNumberFormat="1" applyFont="1" applyFill="1" applyBorder="1" applyAlignment="1">
      <alignment horizontal="right" vertical="center" wrapText="1" shrinkToFit="1"/>
    </xf>
    <xf numFmtId="49" fontId="17" fillId="0" borderId="0" xfId="2" applyNumberFormat="1" applyFont="1" applyFill="1" applyAlignment="1">
      <alignment horizontal="right" vertical="center" wrapText="1" shrinkToFit="1"/>
    </xf>
    <xf numFmtId="49" fontId="17" fillId="0" borderId="0" xfId="0" applyNumberFormat="1" applyFont="1" applyFill="1" applyBorder="1" applyAlignment="1">
      <alignment horizontal="right" vertical="center" wrapText="1" shrinkToFit="1"/>
    </xf>
    <xf numFmtId="41" fontId="6" fillId="0" borderId="11" xfId="2" applyFont="1" applyFill="1" applyBorder="1" applyAlignment="1">
      <alignment horizontal="right" vertical="center" wrapText="1" shrinkToFi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left" vertical="center"/>
    </xf>
    <xf numFmtId="41" fontId="17" fillId="0" borderId="0" xfId="2" applyFont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0" xfId="2" applyNumberFormat="1" applyFont="1" applyAlignment="1">
      <alignment horizontal="left" vertical="center" wrapText="1" shrinkToFit="1"/>
    </xf>
    <xf numFmtId="0" fontId="17" fillId="0" borderId="0" xfId="2" applyNumberFormat="1" applyFont="1" applyAlignment="1">
      <alignment horizontal="right" vertical="center" wrapText="1" shrinkToFit="1"/>
    </xf>
    <xf numFmtId="0" fontId="17" fillId="6" borderId="11" xfId="0" applyFont="1" applyFill="1" applyBorder="1" applyAlignment="1">
      <alignment horizontal="left" vertical="center" shrinkToFit="1"/>
    </xf>
    <xf numFmtId="41" fontId="17" fillId="6" borderId="0" xfId="2" applyFont="1" applyFill="1" applyAlignment="1">
      <alignment horizontal="right" vertical="center" wrapText="1" shrinkToFit="1"/>
    </xf>
    <xf numFmtId="0" fontId="17" fillId="6" borderId="0" xfId="0" applyFont="1" applyFill="1" applyAlignment="1">
      <alignment horizontal="left" vertical="center" wrapText="1" shrinkToFit="1"/>
    </xf>
    <xf numFmtId="0" fontId="17" fillId="6" borderId="0" xfId="0" applyFont="1" applyFill="1" applyAlignment="1">
      <alignment horizontal="center" vertical="center" wrapText="1" shrinkToFit="1"/>
    </xf>
    <xf numFmtId="0" fontId="17" fillId="6" borderId="0" xfId="0" applyFont="1" applyFill="1" applyAlignment="1">
      <alignment horizontal="right" vertical="center" wrapText="1" shrinkToFit="1"/>
    </xf>
    <xf numFmtId="41" fontId="17" fillId="6" borderId="5" xfId="2" applyFont="1" applyFill="1" applyBorder="1" applyAlignment="1">
      <alignment horizontal="right" vertical="center" wrapText="1" shrinkToFit="1"/>
    </xf>
    <xf numFmtId="0" fontId="23" fillId="0" borderId="0" xfId="0" applyFont="1" applyFill="1" applyBorder="1" applyAlignment="1">
      <alignment horizontal="left" vertical="center" shrinkToFit="1"/>
    </xf>
    <xf numFmtId="0" fontId="17" fillId="6" borderId="0" xfId="2" applyNumberFormat="1" applyFont="1" applyFill="1" applyAlignment="1">
      <alignment horizontal="left" vertical="center" wrapText="1" shrinkToFit="1"/>
    </xf>
    <xf numFmtId="41" fontId="17" fillId="6" borderId="0" xfId="2" applyFont="1" applyFill="1" applyAlignment="1">
      <alignment horizontal="center" vertical="center" wrapText="1" shrinkToFit="1"/>
    </xf>
    <xf numFmtId="0" fontId="17" fillId="6" borderId="0" xfId="2" applyNumberFormat="1" applyFont="1" applyFill="1" applyAlignment="1">
      <alignment horizontal="right" vertical="center" wrapText="1" shrinkToFit="1"/>
    </xf>
    <xf numFmtId="41" fontId="17" fillId="6" borderId="9" xfId="2" applyFont="1" applyFill="1" applyBorder="1" applyAlignment="1">
      <alignment horizontal="right" vertical="center" wrapText="1" shrinkToFit="1"/>
    </xf>
    <xf numFmtId="0" fontId="17" fillId="6" borderId="9" xfId="0" applyFont="1" applyFill="1" applyBorder="1" applyAlignment="1">
      <alignment horizontal="left" vertical="center" wrapText="1" shrinkToFit="1"/>
    </xf>
    <xf numFmtId="0" fontId="17" fillId="6" borderId="9" xfId="0" applyFont="1" applyFill="1" applyBorder="1" applyAlignment="1">
      <alignment horizontal="center" vertical="center" wrapText="1" shrinkToFit="1"/>
    </xf>
    <xf numFmtId="0" fontId="17" fillId="6" borderId="9" xfId="0" applyFont="1" applyFill="1" applyBorder="1" applyAlignment="1">
      <alignment horizontal="right" vertical="center" wrapText="1" shrinkToFit="1"/>
    </xf>
    <xf numFmtId="41" fontId="17" fillId="6" borderId="9" xfId="2" applyFont="1" applyFill="1" applyBorder="1" applyAlignment="1">
      <alignment horizontal="center" vertical="center" wrapText="1" shrinkToFit="1"/>
    </xf>
    <xf numFmtId="41" fontId="17" fillId="6" borderId="10" xfId="2" applyFont="1" applyFill="1" applyBorder="1" applyAlignment="1">
      <alignment horizontal="right" vertical="center" wrapText="1" shrinkToFit="1"/>
    </xf>
    <xf numFmtId="41" fontId="33" fillId="0" borderId="0" xfId="0" applyNumberFormat="1" applyFont="1" applyFill="1" applyAlignment="1">
      <alignment vertical="center" wrapText="1" shrinkToFit="1"/>
    </xf>
    <xf numFmtId="0" fontId="36" fillId="0" borderId="0" xfId="0" applyFont="1" applyFill="1" applyAlignment="1">
      <alignment horizontal="left" vertical="center" wrapText="1" shrinkToFit="1"/>
    </xf>
    <xf numFmtId="0" fontId="37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righ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31" fillId="0" borderId="0" xfId="0" applyFont="1" applyFill="1" applyAlignment="1">
      <alignment horizontal="left" vertical="center" wrapText="1" shrinkToFit="1"/>
    </xf>
    <xf numFmtId="0" fontId="32" fillId="0" borderId="0" xfId="0" applyFont="1" applyFill="1" applyAlignment="1">
      <alignment horizontal="left" vertical="center" wrapText="1" shrinkToFit="1"/>
    </xf>
    <xf numFmtId="0" fontId="33" fillId="0" borderId="0" xfId="0" applyFont="1" applyFill="1" applyAlignment="1">
      <alignment horizontal="left" vertical="center" wrapText="1" shrinkToFit="1"/>
    </xf>
    <xf numFmtId="179" fontId="33" fillId="0" borderId="0" xfId="0" applyNumberFormat="1" applyFont="1" applyFill="1" applyAlignment="1">
      <alignment horizontal="left" vertical="center" wrapText="1" shrinkToFit="1"/>
    </xf>
    <xf numFmtId="41" fontId="33" fillId="0" borderId="0" xfId="0" applyNumberFormat="1" applyFont="1" applyFill="1" applyAlignment="1">
      <alignment horizontal="left" vertical="center" wrapText="1" shrinkToFit="1"/>
    </xf>
    <xf numFmtId="0" fontId="37" fillId="0" borderId="0" xfId="0" applyFont="1" applyFill="1" applyAlignment="1">
      <alignment horizontal="left" vertical="center" wrapText="1" shrinkToFit="1"/>
    </xf>
    <xf numFmtId="0" fontId="34" fillId="0" borderId="0" xfId="0" applyFont="1" applyFill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3" fontId="6" fillId="0" borderId="0" xfId="0" applyNumberFormat="1" applyFont="1" applyFill="1" applyAlignment="1">
      <alignment horizontal="left" vertical="center" wrapText="1" shrinkToFit="1"/>
    </xf>
    <xf numFmtId="41" fontId="37" fillId="0" borderId="0" xfId="0" applyNumberFormat="1" applyFont="1" applyFill="1" applyAlignment="1">
      <alignment vertical="center" wrapText="1" shrinkToFit="1"/>
    </xf>
    <xf numFmtId="41" fontId="33" fillId="0" borderId="0" xfId="0" applyNumberFormat="1" applyFont="1" applyFill="1" applyAlignment="1">
      <alignment horizontal="right" vertical="center" wrapText="1" shrinkToFit="1"/>
    </xf>
    <xf numFmtId="0" fontId="17" fillId="0" borderId="6" xfId="2" applyNumberFormat="1" applyFont="1" applyFill="1" applyBorder="1" applyAlignment="1">
      <alignment horizontal="right" vertical="center" wrapText="1" shrinkToFit="1"/>
    </xf>
    <xf numFmtId="0" fontId="17" fillId="0" borderId="0" xfId="2" applyNumberFormat="1" applyFont="1" applyFill="1" applyAlignment="1">
      <alignment horizontal="right" vertical="center" wrapText="1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17" fillId="0" borderId="0" xfId="2" applyNumberFormat="1" applyFont="1" applyFill="1" applyAlignment="1">
      <alignment horizontal="right" vertical="center" wrapText="1" shrinkToFit="1"/>
    </xf>
    <xf numFmtId="0" fontId="17" fillId="0" borderId="11" xfId="0" applyFont="1" applyFill="1" applyBorder="1" applyAlignment="1">
      <alignment horizontal="left" vertical="center" shrinkToFit="1"/>
    </xf>
    <xf numFmtId="179" fontId="6" fillId="0" borderId="4" xfId="2" applyNumberFormat="1" applyFont="1" applyFill="1" applyBorder="1" applyAlignment="1">
      <alignment horizontal="right" vertical="center" wrapText="1" shrinkToFit="1"/>
    </xf>
    <xf numFmtId="0" fontId="23" fillId="6" borderId="11" xfId="0" applyFont="1" applyFill="1" applyBorder="1" applyAlignment="1">
      <alignment horizontal="left" vertical="center" shrinkToFit="1"/>
    </xf>
    <xf numFmtId="49" fontId="17" fillId="6" borderId="0" xfId="0" applyNumberFormat="1" applyFont="1" applyFill="1" applyAlignment="1">
      <alignment horizontal="right" vertical="center" wrapText="1" shrinkToFit="1"/>
    </xf>
    <xf numFmtId="0" fontId="17" fillId="6" borderId="0" xfId="0" applyFont="1" applyFill="1" applyAlignment="1">
      <alignment horizontal="distributed" vertical="center" wrapText="1" shrinkToFit="1"/>
    </xf>
    <xf numFmtId="41" fontId="6" fillId="6" borderId="1" xfId="2" applyFont="1" applyFill="1" applyBorder="1" applyAlignment="1">
      <alignment horizontal="right" vertical="center" wrapText="1" shrinkToFit="1"/>
    </xf>
    <xf numFmtId="0" fontId="17" fillId="6" borderId="8" xfId="0" applyFont="1" applyFill="1" applyBorder="1" applyAlignment="1">
      <alignment horizontal="left" vertical="center" shrinkToFit="1"/>
    </xf>
    <xf numFmtId="0" fontId="17" fillId="6" borderId="6" xfId="2" applyNumberFormat="1" applyFont="1" applyFill="1" applyBorder="1" applyAlignment="1">
      <alignment horizontal="left" vertical="center" wrapText="1" shrinkToFit="1"/>
    </xf>
    <xf numFmtId="49" fontId="17" fillId="6" borderId="6" xfId="2" applyNumberFormat="1" applyFont="1" applyFill="1" applyBorder="1" applyAlignment="1">
      <alignment horizontal="center" vertical="center" wrapText="1" shrinkToFit="1"/>
    </xf>
    <xf numFmtId="0" fontId="17" fillId="6" borderId="6" xfId="2" applyNumberFormat="1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41" fontId="6" fillId="11" borderId="4" xfId="2" applyFont="1" applyFill="1" applyBorder="1" applyAlignment="1">
      <alignment horizontal="right" vertical="center" wrapText="1" shrinkToFit="1"/>
    </xf>
    <xf numFmtId="0" fontId="6" fillId="11" borderId="13" xfId="0" applyFont="1" applyFill="1" applyBorder="1" applyAlignment="1">
      <alignment vertical="center" wrapText="1" shrinkToFit="1"/>
    </xf>
    <xf numFmtId="179" fontId="6" fillId="11" borderId="4" xfId="2" applyNumberFormat="1" applyFont="1" applyFill="1" applyBorder="1" applyAlignment="1">
      <alignment horizontal="right" vertical="center" wrapText="1" shrinkToFi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 shrinkToFit="1"/>
    </xf>
    <xf numFmtId="178" fontId="10" fillId="0" borderId="2" xfId="2" applyNumberFormat="1" applyFont="1" applyFill="1" applyBorder="1" applyAlignment="1">
      <alignment horizontal="right" vertical="center" wrapText="1" shrinkToFit="1"/>
    </xf>
    <xf numFmtId="0" fontId="17" fillId="0" borderId="9" xfId="0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178" fontId="6" fillId="0" borderId="4" xfId="2" applyNumberFormat="1" applyFont="1" applyFill="1" applyBorder="1" applyAlignment="1">
      <alignment horizontal="right" vertical="center" wrapText="1" shrinkToFi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2" applyNumberFormat="1" applyFont="1" applyFill="1" applyAlignment="1">
      <alignment horizontal="distributed" vertical="center" wrapText="1" shrinkToFit="1"/>
    </xf>
    <xf numFmtId="49" fontId="15" fillId="0" borderId="14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vertical="center" wrapText="1" shrinkToFit="1"/>
    </xf>
    <xf numFmtId="0" fontId="14" fillId="0" borderId="0" xfId="2" applyNumberFormat="1" applyFont="1" applyFill="1" applyBorder="1" applyAlignment="1">
      <alignment horizontal="distributed" vertical="center" wrapText="1" shrinkToFit="1"/>
    </xf>
    <xf numFmtId="49" fontId="14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vertical="center" wrapText="1" shrinkToFit="1"/>
    </xf>
    <xf numFmtId="0" fontId="14" fillId="0" borderId="0" xfId="2" applyNumberFormat="1" applyFont="1" applyFill="1" applyAlignment="1">
      <alignment horizontal="distributed" vertical="center" wrapText="1" shrinkToFit="1"/>
    </xf>
    <xf numFmtId="41" fontId="24" fillId="0" borderId="7" xfId="2" applyFont="1" applyFill="1" applyBorder="1" applyAlignment="1">
      <alignment horizontal="right" vertical="center" wrapText="1" shrinkToFit="1"/>
    </xf>
    <xf numFmtId="0" fontId="14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vertical="center" wrapText="1" shrinkToFit="1"/>
    </xf>
    <xf numFmtId="178" fontId="8" fillId="0" borderId="4" xfId="2" applyNumberFormat="1" applyFont="1" applyFill="1" applyBorder="1" applyAlignment="1">
      <alignment horizontal="right" vertical="center" wrapText="1" shrinkToFit="1"/>
    </xf>
    <xf numFmtId="41" fontId="15" fillId="0" borderId="6" xfId="2" applyFont="1" applyFill="1" applyBorder="1" applyAlignment="1">
      <alignment horizontal="right" vertical="center" wrapText="1" shrinkToFit="1"/>
    </xf>
    <xf numFmtId="0" fontId="15" fillId="0" borderId="6" xfId="2" applyNumberFormat="1" applyFont="1" applyFill="1" applyBorder="1" applyAlignment="1">
      <alignment horizontal="distributed" vertical="center" wrapText="1" shrinkToFit="1"/>
    </xf>
    <xf numFmtId="49" fontId="15" fillId="0" borderId="6" xfId="0" applyNumberFormat="1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41" fontId="15" fillId="0" borderId="7" xfId="2" applyFont="1" applyFill="1" applyBorder="1" applyAlignment="1">
      <alignment horizontal="right"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49" fontId="14" fillId="0" borderId="6" xfId="0" applyNumberFormat="1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left" vertical="center" wrapText="1"/>
    </xf>
    <xf numFmtId="41" fontId="17" fillId="0" borderId="0" xfId="2" applyFont="1" applyFill="1" applyAlignment="1">
      <alignment horizontal="center" vertical="center" wrapText="1" shrinkToFit="1"/>
    </xf>
    <xf numFmtId="0" fontId="17" fillId="0" borderId="6" xfId="2" applyNumberFormat="1" applyFont="1" applyFill="1" applyBorder="1" applyAlignment="1">
      <alignment horizontal="right" vertical="center" wrapText="1" shrinkToFit="1"/>
    </xf>
    <xf numFmtId="0" fontId="17" fillId="0" borderId="9" xfId="2" applyNumberFormat="1" applyFont="1" applyFill="1" applyBorder="1" applyAlignment="1">
      <alignment horizontal="right" vertical="center" wrapText="1" shrinkToFit="1"/>
    </xf>
    <xf numFmtId="0" fontId="17" fillId="0" borderId="0" xfId="2" applyNumberFormat="1" applyFont="1" applyFill="1" applyAlignment="1">
      <alignment horizontal="right" vertical="center" wrapText="1" shrinkToFit="1"/>
    </xf>
    <xf numFmtId="0" fontId="17" fillId="0" borderId="0" xfId="0" applyFont="1" applyFill="1" applyAlignment="1">
      <alignment horizontal="left" vertical="center" shrinkToFit="1"/>
    </xf>
    <xf numFmtId="178" fontId="8" fillId="6" borderId="3" xfId="2" applyNumberFormat="1" applyFont="1" applyFill="1" applyBorder="1" applyAlignment="1">
      <alignment horizontal="right" vertical="center" wrapText="1" shrinkToFit="1"/>
    </xf>
    <xf numFmtId="178" fontId="8" fillId="6" borderId="1" xfId="2" applyNumberFormat="1" applyFont="1" applyFill="1" applyBorder="1" applyAlignment="1">
      <alignment horizontal="right" vertical="center" wrapText="1" shrinkToFit="1"/>
    </xf>
    <xf numFmtId="41" fontId="38" fillId="0" borderId="5" xfId="2" applyFont="1" applyFill="1" applyBorder="1" applyAlignment="1">
      <alignment horizontal="right" vertical="center" wrapText="1" shrinkToFit="1"/>
    </xf>
    <xf numFmtId="41" fontId="6" fillId="0" borderId="0" xfId="0" applyNumberFormat="1" applyFont="1" applyFill="1" applyAlignment="1">
      <alignment horizontal="left" vertical="center" wrapText="1" shrinkToFit="1"/>
    </xf>
    <xf numFmtId="0" fontId="38" fillId="0" borderId="11" xfId="0" applyFont="1" applyFill="1" applyBorder="1" applyAlignment="1">
      <alignment horizontal="left" vertical="center" shrinkToFit="1"/>
    </xf>
    <xf numFmtId="41" fontId="38" fillId="0" borderId="0" xfId="2" applyFont="1" applyFill="1" applyBorder="1" applyAlignment="1">
      <alignment horizontal="right" vertical="center" wrapText="1" shrinkToFit="1"/>
    </xf>
    <xf numFmtId="0" fontId="38" fillId="0" borderId="0" xfId="0" applyFont="1" applyFill="1" applyBorder="1" applyAlignment="1">
      <alignment horizontal="left" vertical="center" wrapText="1" shrinkToFit="1"/>
    </xf>
    <xf numFmtId="49" fontId="38" fillId="0" borderId="0" xfId="0" applyNumberFormat="1" applyFont="1" applyFill="1" applyBorder="1" applyAlignment="1">
      <alignment horizontal="right" vertical="center" wrapText="1" shrinkToFit="1"/>
    </xf>
    <xf numFmtId="0" fontId="38" fillId="0" borderId="0" xfId="0" applyFont="1" applyFill="1" applyBorder="1" applyAlignment="1">
      <alignment horizontal="distributed" vertical="center" wrapText="1" shrinkToFit="1"/>
    </xf>
    <xf numFmtId="0" fontId="38" fillId="0" borderId="0" xfId="0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17" fillId="0" borderId="0" xfId="0" applyFont="1" applyFill="1" applyAlignment="1">
      <alignment horizontal="left" vertical="center" shrinkToFit="1"/>
    </xf>
    <xf numFmtId="0" fontId="6" fillId="6" borderId="0" xfId="0" applyFont="1" applyFill="1" applyAlignment="1">
      <alignment horizontal="left" vertical="center" wrapText="1" shrinkToFit="1"/>
    </xf>
    <xf numFmtId="0" fontId="9" fillId="0" borderId="2" xfId="2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14" fontId="22" fillId="0" borderId="0" xfId="0" applyNumberFormat="1" applyFont="1" applyFill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 shrinkToFit="1"/>
    </xf>
    <xf numFmtId="0" fontId="10" fillId="0" borderId="8" xfId="0" applyFont="1" applyBorder="1" applyAlignment="1">
      <alignment vertical="center" wrapText="1" shrinkToFit="1"/>
    </xf>
    <xf numFmtId="0" fontId="10" fillId="0" borderId="7" xfId="0" applyFont="1" applyBorder="1" applyAlignment="1">
      <alignment vertical="center" wrapText="1" shrinkToFit="1"/>
    </xf>
    <xf numFmtId="0" fontId="8" fillId="2" borderId="8" xfId="0" applyFont="1" applyFill="1" applyBorder="1" applyAlignment="1">
      <alignment vertical="center" wrapText="1" shrinkToFit="1"/>
    </xf>
    <xf numFmtId="0" fontId="8" fillId="2" borderId="6" xfId="0" applyFont="1" applyFill="1" applyBorder="1" applyAlignment="1">
      <alignment vertical="center" wrapText="1" shrinkToFit="1"/>
    </xf>
    <xf numFmtId="0" fontId="8" fillId="2" borderId="7" xfId="0" applyFont="1" applyFill="1" applyBorder="1" applyAlignment="1">
      <alignment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vertical="center" wrapText="1" shrinkToFit="1"/>
    </xf>
    <xf numFmtId="0" fontId="8" fillId="3" borderId="13" xfId="0" applyFont="1" applyFill="1" applyBorder="1" applyAlignment="1">
      <alignment vertical="center" wrapText="1" shrinkToFit="1"/>
    </xf>
    <xf numFmtId="0" fontId="8" fillId="3" borderId="14" xfId="0" applyFont="1" applyFill="1" applyBorder="1" applyAlignment="1">
      <alignment vertical="center" wrapText="1" shrinkToFit="1"/>
    </xf>
    <xf numFmtId="0" fontId="8" fillId="3" borderId="15" xfId="0" applyFont="1" applyFill="1" applyBorder="1" applyAlignment="1">
      <alignment vertical="center" wrapText="1" shrinkToFit="1"/>
    </xf>
    <xf numFmtId="0" fontId="9" fillId="0" borderId="4" xfId="2" applyNumberFormat="1" applyFont="1" applyBorder="1" applyAlignment="1">
      <alignment horizontal="center" vertical="center" wrapText="1" shrinkToFit="1"/>
    </xf>
    <xf numFmtId="0" fontId="9" fillId="0" borderId="2" xfId="2" applyNumberFormat="1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4" xfId="1" applyNumberFormat="1" applyFont="1" applyBorder="1" applyAlignment="1">
      <alignment horizontal="center" vertical="center" wrapText="1" shrinkToFit="1"/>
    </xf>
    <xf numFmtId="0" fontId="8" fillId="0" borderId="2" xfId="1" applyNumberFormat="1" applyFont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 shrinkToFit="1"/>
    </xf>
    <xf numFmtId="0" fontId="9" fillId="0" borderId="4" xfId="1" applyNumberFormat="1" applyFont="1" applyBorder="1" applyAlignment="1">
      <alignment horizontal="center" vertical="center" wrapText="1" shrinkToFit="1"/>
    </xf>
    <xf numFmtId="0" fontId="9" fillId="0" borderId="2" xfId="1" applyNumberFormat="1" applyFont="1" applyBorder="1" applyAlignment="1">
      <alignment horizontal="center" vertical="center" wrapText="1" shrinkToFit="1"/>
    </xf>
    <xf numFmtId="0" fontId="8" fillId="5" borderId="8" xfId="0" applyFont="1" applyFill="1" applyBorder="1" applyAlignment="1">
      <alignment horizontal="center" vertical="center" wrapText="1" shrinkToFit="1"/>
    </xf>
    <xf numFmtId="0" fontId="8" fillId="5" borderId="6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vertical="center" wrapText="1" shrinkToFit="1"/>
    </xf>
    <xf numFmtId="0" fontId="8" fillId="3" borderId="7" xfId="0" applyFont="1" applyFill="1" applyBorder="1" applyAlignment="1">
      <alignment vertical="center" wrapText="1" shrinkToFit="1"/>
    </xf>
    <xf numFmtId="0" fontId="10" fillId="0" borderId="13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right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10" fillId="0" borderId="7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5" xfId="0" applyFont="1" applyFill="1" applyBorder="1" applyAlignment="1">
      <alignment vertical="center" wrapText="1" shrinkToFit="1"/>
    </xf>
    <xf numFmtId="0" fontId="9" fillId="0" borderId="13" xfId="0" applyFont="1" applyFill="1" applyBorder="1" applyAlignment="1">
      <alignment vertical="center" wrapText="1" shrinkToFit="1"/>
    </xf>
    <xf numFmtId="0" fontId="9" fillId="0" borderId="14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8" fillId="0" borderId="8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41" fontId="17" fillId="0" borderId="0" xfId="2" applyFont="1" applyFill="1" applyAlignment="1">
      <alignment horizontal="center" vertical="center" wrapText="1" shrinkToFit="1"/>
    </xf>
    <xf numFmtId="0" fontId="8" fillId="0" borderId="13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vertical="center" wrapText="1" shrinkToFit="1"/>
    </xf>
    <xf numFmtId="0" fontId="8" fillId="0" borderId="7" xfId="0" applyFont="1" applyFill="1" applyBorder="1" applyAlignment="1">
      <alignment vertical="center" wrapText="1" shrinkToFit="1"/>
    </xf>
    <xf numFmtId="0" fontId="5" fillId="0" borderId="9" xfId="0" applyFont="1" applyBorder="1" applyAlignment="1">
      <alignment horizontal="right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177" fontId="8" fillId="0" borderId="4" xfId="2" applyNumberFormat="1" applyFont="1" applyBorder="1" applyAlignment="1">
      <alignment horizontal="center" vertical="center" wrapText="1" shrinkToFit="1"/>
    </xf>
    <xf numFmtId="177" fontId="8" fillId="0" borderId="2" xfId="2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 shrinkToFit="1"/>
    </xf>
    <xf numFmtId="0" fontId="17" fillId="0" borderId="6" xfId="2" applyNumberFormat="1" applyFont="1" applyFill="1" applyBorder="1" applyAlignment="1">
      <alignment horizontal="right" vertical="center" wrapText="1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shrinkToFit="1"/>
    </xf>
    <xf numFmtId="0" fontId="6" fillId="11" borderId="13" xfId="0" applyFont="1" applyFill="1" applyBorder="1" applyAlignment="1">
      <alignment vertical="center" wrapText="1" shrinkToFit="1"/>
    </xf>
    <xf numFmtId="0" fontId="6" fillId="11" borderId="15" xfId="0" applyFont="1" applyFill="1" applyBorder="1" applyAlignment="1">
      <alignment vertical="center" wrapText="1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17" fillId="0" borderId="9" xfId="2" applyNumberFormat="1" applyFont="1" applyFill="1" applyBorder="1" applyAlignment="1">
      <alignment horizontal="center" vertical="center" wrapText="1" shrinkToFit="1"/>
    </xf>
    <xf numFmtId="49" fontId="17" fillId="0" borderId="9" xfId="2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 wrapText="1" shrinkToFit="1"/>
    </xf>
    <xf numFmtId="0" fontId="17" fillId="0" borderId="0" xfId="2" applyNumberFormat="1" applyFont="1" applyFill="1" applyAlignment="1">
      <alignment horizontal="right" vertical="center" wrapText="1" shrinkToFit="1"/>
    </xf>
    <xf numFmtId="0" fontId="6" fillId="0" borderId="8" xfId="0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vertical="center" wrapText="1" shrinkToFit="1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6" fillId="6" borderId="8" xfId="0" applyFont="1" applyFill="1" applyBorder="1" applyAlignment="1">
      <alignment vertical="center" wrapText="1" shrinkToFit="1"/>
    </xf>
    <xf numFmtId="0" fontId="6" fillId="6" borderId="7" xfId="0" applyFont="1" applyFill="1" applyBorder="1" applyAlignment="1">
      <alignment vertical="center" wrapText="1" shrinkToFit="1"/>
    </xf>
    <xf numFmtId="0" fontId="17" fillId="0" borderId="9" xfId="2" applyNumberFormat="1" applyFont="1" applyFill="1" applyBorder="1" applyAlignment="1">
      <alignment horizontal="right" vertical="center" wrapText="1" shrinkToFit="1"/>
    </xf>
    <xf numFmtId="0" fontId="20" fillId="0" borderId="0" xfId="0" applyFont="1" applyFill="1" applyAlignment="1">
      <alignment horizontal="center" vertical="center" wrapText="1" shrinkToFit="1"/>
    </xf>
    <xf numFmtId="41" fontId="4" fillId="0" borderId="9" xfId="0" applyNumberFormat="1" applyFont="1" applyFill="1" applyBorder="1" applyAlignment="1">
      <alignment horizontal="right" vertical="center" wrapText="1" shrinkToFit="1"/>
    </xf>
    <xf numFmtId="0" fontId="4" fillId="0" borderId="9" xfId="0" applyFont="1" applyFill="1" applyBorder="1" applyAlignment="1">
      <alignment horizontal="right" vertical="center" wrapText="1" shrinkToFit="1"/>
    </xf>
    <xf numFmtId="0" fontId="5" fillId="0" borderId="9" xfId="0" applyFont="1" applyFill="1" applyBorder="1" applyAlignment="1">
      <alignment horizontal="right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177" fontId="8" fillId="0" borderId="4" xfId="2" applyNumberFormat="1" applyFont="1" applyFill="1" applyBorder="1" applyAlignment="1">
      <alignment horizontal="center" vertical="center" wrapText="1" shrinkToFit="1"/>
    </xf>
    <xf numFmtId="177" fontId="8" fillId="0" borderId="2" xfId="2" applyNumberFormat="1" applyFont="1" applyFill="1" applyBorder="1" applyAlignment="1">
      <alignment horizontal="center" vertical="center" wrapText="1" shrinkToFit="1"/>
    </xf>
    <xf numFmtId="0" fontId="23" fillId="0" borderId="6" xfId="2" applyNumberFormat="1" applyFont="1" applyFill="1" applyBorder="1" applyAlignment="1">
      <alignment horizontal="center" vertical="center" wrapText="1" shrinkToFit="1"/>
    </xf>
    <xf numFmtId="49" fontId="23" fillId="0" borderId="6" xfId="2" applyNumberFormat="1" applyFont="1" applyFill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/>
    </xf>
  </cellXfs>
  <cellStyles count="3">
    <cellStyle name="쉼표 [0]" xfId="1" builtinId="6" customBuiltin="1"/>
    <cellStyle name="쉼표 [0] 2" xfId="2" xr:uid="{00000000-0005-0000-0000-000001000000}"/>
    <cellStyle name="표준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41</xdr:row>
      <xdr:rowOff>123825</xdr:rowOff>
    </xdr:from>
    <xdr:to>
      <xdr:col>5</xdr:col>
      <xdr:colOff>790575</xdr:colOff>
      <xdr:row>44</xdr:row>
      <xdr:rowOff>133350</xdr:rowOff>
    </xdr:to>
    <xdr:pic>
      <xdr:nvPicPr>
        <xdr:cNvPr id="2" name="_x201305256" descr="EMB00000ff82d2b">
          <a:extLst>
            <a:ext uri="{FF2B5EF4-FFF2-40B4-BE49-F238E27FC236}">
              <a16:creationId xmlns:a16="http://schemas.microsoft.com/office/drawing/2014/main" id="{3D42D90D-D6F5-41AC-A9D3-6D515668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305675"/>
          <a:ext cx="27051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8</xdr:row>
      <xdr:rowOff>9525</xdr:rowOff>
    </xdr:from>
    <xdr:to>
      <xdr:col>7</xdr:col>
      <xdr:colOff>542924</xdr:colOff>
      <xdr:row>49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C94C30-469D-46D2-BF3D-429907F7B879}"/>
            </a:ext>
          </a:extLst>
        </xdr:cNvPr>
        <xdr:cNvSpPr txBox="1"/>
      </xdr:nvSpPr>
      <xdr:spPr>
        <a:xfrm>
          <a:off x="447674" y="1466850"/>
          <a:ext cx="5838825" cy="712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latinLnBrk="1"/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총칙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①굿윌스토어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이하 ‘굿윌’이라 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운영에 소요되는 모든 예산은 사업수입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정부보조금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법인전입금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후원금 등으로 이루어진다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②모든 수입과 지출은 예산총계주의원칙에 의하며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회계연도의 모든 수입은 세입으로 모든 지출은 세출로 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③굿윌의 회계연도는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월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일부터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월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일까지로 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④예산의 목적 외 사용을 금한다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준용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굿윌의 회계는 사회복지법인재무회계규칙과 법인의 정관 및 굿윌 제규정을 준용한다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ko-KR" altLang="ko-KR">
            <a:effectLst/>
          </a:endParaRPr>
        </a:p>
        <a:p>
          <a:pPr fontAlgn="base" latinLnBrk="1"/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프로젝트의 구분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굿윌 회계의 프로젝트 구분은 예산에 편성되는 사업비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소매매출수입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용역수입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잡수입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보조금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시･도보조금수입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기타보조금수입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법인전입금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후원금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법인전입금후원금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시설후원금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과 예산에 편성되지 않는 예수금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사회보험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급여공제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급식비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법인카드 등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으로 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세입･세출예산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세입･세출예산은 다음 각 호와 같으며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 세부내역은 관항목 내역서와 같다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세입 총액은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4,124,176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천원이며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관별 내역은 사업수입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1,939,970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보조금수입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838,382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후원금수입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16,000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전입금수입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240,000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이월금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1,011,154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잡수입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78,670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천원이다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세출 총액은 세입 총액과 동일하며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관별 내역은 사무비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1,577,124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재산조성비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259,380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사업비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2,146,048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잡지출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73,021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예비비및기타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68,603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천원이다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추가경정예산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ko-KR">
            <a:effectLst/>
          </a:endParaRPr>
        </a:p>
        <a:p>
          <a:pPr fontAlgn="base" latinLnBrk="1"/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예산 성립 후에 생긴 사유로 인하여 이미 성립된 예산에 변경을 가할 필요가 있을 때에는 정한 절차에 준하여 추가경정예산으로 상정한다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pPr fontAlgn="base" latinLnBrk="1"/>
          <a:endParaRPr lang="en-US" altLang="ko-K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조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예비비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예비비는 스토어 대표의 예비비사용조서에 의하여 집행한다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ko-KR" altLang="ko-KR">
            <a:effectLst/>
          </a:endParaRPr>
        </a:p>
        <a:p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3"/>
  <sheetViews>
    <sheetView tabSelected="1" workbookViewId="0">
      <selection activeCell="K19" sqref="K19"/>
    </sheetView>
  </sheetViews>
  <sheetFormatPr defaultRowHeight="13.5" x14ac:dyDescent="0.15"/>
  <cols>
    <col min="1" max="1" width="1.77734375" customWidth="1"/>
    <col min="2" max="2" width="9.77734375" customWidth="1"/>
    <col min="3" max="4" width="10.77734375" customWidth="1"/>
    <col min="5" max="5" width="12.33203125" customWidth="1"/>
    <col min="6" max="7" width="10.77734375" customWidth="1"/>
    <col min="8" max="8" width="9.77734375" customWidth="1"/>
    <col min="9" max="9" width="1.77734375" customWidth="1"/>
  </cols>
  <sheetData>
    <row r="1" spans="2:13" ht="20.100000000000001" customHeight="1" x14ac:dyDescent="0.15"/>
    <row r="2" spans="2:13" x14ac:dyDescent="0.15">
      <c r="B2" s="39"/>
      <c r="C2" s="40"/>
      <c r="D2" s="40"/>
      <c r="E2" s="40"/>
      <c r="F2" s="40"/>
      <c r="G2" s="40"/>
      <c r="H2" s="41"/>
    </row>
    <row r="3" spans="2:13" x14ac:dyDescent="0.15">
      <c r="B3" s="42"/>
      <c r="H3" s="43"/>
    </row>
    <row r="4" spans="2:13" x14ac:dyDescent="0.15">
      <c r="B4" s="42"/>
      <c r="H4" s="43"/>
    </row>
    <row r="5" spans="2:13" x14ac:dyDescent="0.15">
      <c r="B5" s="42"/>
      <c r="E5" s="666"/>
      <c r="F5" s="666"/>
      <c r="H5" s="43"/>
      <c r="M5" s="666"/>
    </row>
    <row r="6" spans="2:13" x14ac:dyDescent="0.15">
      <c r="B6" s="42"/>
      <c r="H6" s="43"/>
    </row>
    <row r="7" spans="2:13" x14ac:dyDescent="0.15">
      <c r="B7" s="42"/>
      <c r="H7" s="43"/>
    </row>
    <row r="8" spans="2:13" x14ac:dyDescent="0.15">
      <c r="B8" s="42"/>
      <c r="H8" s="43"/>
    </row>
    <row r="9" spans="2:13" x14ac:dyDescent="0.15">
      <c r="B9" s="42"/>
      <c r="H9" s="43"/>
    </row>
    <row r="10" spans="2:13" x14ac:dyDescent="0.15">
      <c r="B10" s="42"/>
      <c r="H10" s="43"/>
    </row>
    <row r="11" spans="2:13" x14ac:dyDescent="0.15">
      <c r="B11" s="42"/>
      <c r="H11" s="43"/>
    </row>
    <row r="12" spans="2:13" x14ac:dyDescent="0.15">
      <c r="B12" s="42"/>
      <c r="H12" s="43"/>
    </row>
    <row r="13" spans="2:13" x14ac:dyDescent="0.15">
      <c r="B13" s="42"/>
      <c r="H13" s="43"/>
    </row>
    <row r="14" spans="2:13" ht="13.5" customHeight="1" x14ac:dyDescent="0.15">
      <c r="B14" s="42"/>
      <c r="C14" s="667" t="s">
        <v>563</v>
      </c>
      <c r="D14" s="667"/>
      <c r="E14" s="667"/>
      <c r="F14" s="667"/>
      <c r="G14" s="667"/>
      <c r="H14" s="43"/>
    </row>
    <row r="15" spans="2:13" ht="13.5" customHeight="1" x14ac:dyDescent="0.15">
      <c r="B15" s="42"/>
      <c r="C15" s="667"/>
      <c r="D15" s="667"/>
      <c r="E15" s="667"/>
      <c r="F15" s="667"/>
      <c r="G15" s="667"/>
      <c r="H15" s="43"/>
    </row>
    <row r="16" spans="2:13" ht="13.5" customHeight="1" x14ac:dyDescent="0.15">
      <c r="B16" s="42"/>
      <c r="C16" s="667"/>
      <c r="D16" s="667"/>
      <c r="E16" s="667"/>
      <c r="F16" s="667"/>
      <c r="G16" s="667"/>
      <c r="H16" s="43"/>
    </row>
    <row r="17" spans="2:8" ht="13.5" customHeight="1" x14ac:dyDescent="0.15">
      <c r="B17" s="42"/>
      <c r="C17" s="667"/>
      <c r="D17" s="667"/>
      <c r="E17" s="667"/>
      <c r="F17" s="667"/>
      <c r="G17" s="667"/>
      <c r="H17" s="43"/>
    </row>
    <row r="18" spans="2:8" ht="13.5" customHeight="1" x14ac:dyDescent="0.15">
      <c r="B18" s="42"/>
      <c r="C18" s="667"/>
      <c r="D18" s="667"/>
      <c r="E18" s="667"/>
      <c r="F18" s="667"/>
      <c r="G18" s="667"/>
      <c r="H18" s="43"/>
    </row>
    <row r="19" spans="2:8" ht="13.5" customHeight="1" x14ac:dyDescent="0.15">
      <c r="B19" s="42"/>
      <c r="C19" s="667"/>
      <c r="D19" s="667"/>
      <c r="E19" s="667"/>
      <c r="F19" s="667"/>
      <c r="G19" s="667"/>
      <c r="H19" s="43"/>
    </row>
    <row r="20" spans="2:8" x14ac:dyDescent="0.15">
      <c r="B20" s="42"/>
      <c r="H20" s="43"/>
    </row>
    <row r="21" spans="2:8" x14ac:dyDescent="0.15">
      <c r="B21" s="42"/>
      <c r="H21" s="43"/>
    </row>
    <row r="22" spans="2:8" x14ac:dyDescent="0.15">
      <c r="B22" s="42"/>
      <c r="H22" s="43"/>
    </row>
    <row r="23" spans="2:8" x14ac:dyDescent="0.15">
      <c r="B23" s="42"/>
      <c r="H23" s="43"/>
    </row>
    <row r="24" spans="2:8" x14ac:dyDescent="0.15">
      <c r="B24" s="42"/>
      <c r="H24" s="43"/>
    </row>
    <row r="25" spans="2:8" x14ac:dyDescent="0.15">
      <c r="B25" s="42"/>
      <c r="H25" s="43"/>
    </row>
    <row r="26" spans="2:8" x14ac:dyDescent="0.15">
      <c r="B26" s="42"/>
      <c r="H26" s="43"/>
    </row>
    <row r="27" spans="2:8" x14ac:dyDescent="0.15">
      <c r="B27" s="42"/>
      <c r="H27" s="43"/>
    </row>
    <row r="28" spans="2:8" x14ac:dyDescent="0.15">
      <c r="B28" s="42"/>
      <c r="H28" s="43"/>
    </row>
    <row r="29" spans="2:8" ht="19.5" x14ac:dyDescent="0.35">
      <c r="B29" s="42"/>
      <c r="D29" s="668" t="s">
        <v>569</v>
      </c>
      <c r="E29" s="668"/>
      <c r="F29" s="668"/>
      <c r="H29" s="43"/>
    </row>
    <row r="30" spans="2:8" x14ac:dyDescent="0.15">
      <c r="B30" s="42"/>
      <c r="H30" s="43"/>
    </row>
    <row r="31" spans="2:8" x14ac:dyDescent="0.15">
      <c r="B31" s="42"/>
      <c r="H31" s="43"/>
    </row>
    <row r="32" spans="2:8" x14ac:dyDescent="0.15">
      <c r="B32" s="42"/>
      <c r="H32" s="43"/>
    </row>
    <row r="33" spans="2:8" x14ac:dyDescent="0.15">
      <c r="B33" s="42"/>
      <c r="H33" s="43"/>
    </row>
    <row r="34" spans="2:8" x14ac:dyDescent="0.15">
      <c r="B34" s="42"/>
      <c r="H34" s="43"/>
    </row>
    <row r="35" spans="2:8" x14ac:dyDescent="0.15">
      <c r="B35" s="42"/>
      <c r="H35" s="43"/>
    </row>
    <row r="36" spans="2:8" x14ac:dyDescent="0.15">
      <c r="B36" s="42"/>
      <c r="H36" s="43"/>
    </row>
    <row r="37" spans="2:8" x14ac:dyDescent="0.15">
      <c r="B37" s="42"/>
      <c r="H37" s="43"/>
    </row>
    <row r="38" spans="2:8" x14ac:dyDescent="0.15">
      <c r="B38" s="42"/>
      <c r="H38" s="43"/>
    </row>
    <row r="39" spans="2:8" x14ac:dyDescent="0.15">
      <c r="B39" s="42"/>
      <c r="H39" s="43"/>
    </row>
    <row r="40" spans="2:8" x14ac:dyDescent="0.15">
      <c r="B40" s="42"/>
      <c r="H40" s="43"/>
    </row>
    <row r="41" spans="2:8" x14ac:dyDescent="0.15">
      <c r="B41" s="42"/>
      <c r="H41" s="43"/>
    </row>
    <row r="42" spans="2:8" x14ac:dyDescent="0.15">
      <c r="B42" s="42"/>
      <c r="H42" s="43"/>
    </row>
    <row r="43" spans="2:8" x14ac:dyDescent="0.15">
      <c r="B43" s="42"/>
      <c r="H43" s="43"/>
    </row>
    <row r="44" spans="2:8" x14ac:dyDescent="0.15">
      <c r="B44" s="42"/>
      <c r="H44" s="43"/>
    </row>
    <row r="45" spans="2:8" x14ac:dyDescent="0.15">
      <c r="B45" s="42"/>
      <c r="H45" s="43"/>
    </row>
    <row r="46" spans="2:8" ht="17.25" x14ac:dyDescent="0.3">
      <c r="B46" s="42"/>
      <c r="F46" s="129" t="s">
        <v>194</v>
      </c>
      <c r="H46" s="43"/>
    </row>
    <row r="47" spans="2:8" x14ac:dyDescent="0.15">
      <c r="B47" s="42"/>
      <c r="H47" s="43"/>
    </row>
    <row r="48" spans="2:8" x14ac:dyDescent="0.15">
      <c r="B48" s="42"/>
      <c r="H48" s="43"/>
    </row>
    <row r="49" spans="2:8" x14ac:dyDescent="0.15">
      <c r="B49" s="42"/>
      <c r="H49" s="43"/>
    </row>
    <row r="50" spans="2:8" x14ac:dyDescent="0.15">
      <c r="B50" s="42"/>
      <c r="H50" s="43"/>
    </row>
    <row r="51" spans="2:8" x14ac:dyDescent="0.15">
      <c r="B51" s="42"/>
      <c r="H51" s="43"/>
    </row>
    <row r="52" spans="2:8" x14ac:dyDescent="0.15">
      <c r="B52" s="44"/>
      <c r="C52" s="45"/>
      <c r="D52" s="45"/>
      <c r="E52" s="45"/>
      <c r="F52" s="45"/>
      <c r="G52" s="45"/>
      <c r="H52" s="46"/>
    </row>
    <row r="53" spans="2:8" customFormat="1" ht="15" customHeight="1" ph="1" x14ac:dyDescent="0.15"/>
  </sheetData>
  <mergeCells count="2">
    <mergeCell ref="C14:G19"/>
    <mergeCell ref="D29:F29"/>
  </mergeCells>
  <phoneticPr fontId="2" type="noConversion"/>
  <pageMargins left="0.43307086614173229" right="0.43307086614173229" top="0.82677165354330717" bottom="0.70866141732283472" header="0.82677165354330717" footer="0.47244094488188981"/>
  <pageSetup paperSize="9" fitToHeight="0" orientation="portrait" r:id="rId1"/>
  <headerFooter>
    <oddFooter>&amp;L사회복지법인 밀알복지재단&amp;C&amp;P/&amp;N&amp;R&amp;"+,굵게"&amp;12&amp;K0070C0Goodwill Store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3"/>
  <sheetViews>
    <sheetView tabSelected="1" topLeftCell="A16" workbookViewId="0">
      <selection activeCell="K19" sqref="K19"/>
    </sheetView>
  </sheetViews>
  <sheetFormatPr defaultRowHeight="13.5" x14ac:dyDescent="0.15"/>
  <cols>
    <col min="1" max="1" width="1.77734375" customWidth="1"/>
    <col min="2" max="2" width="9.77734375" customWidth="1"/>
    <col min="3" max="4" width="10.77734375" customWidth="1"/>
    <col min="5" max="5" width="12.33203125" customWidth="1"/>
    <col min="6" max="7" width="10.77734375" customWidth="1"/>
    <col min="8" max="8" width="9.77734375" customWidth="1"/>
    <col min="9" max="9" width="1.77734375" customWidth="1"/>
  </cols>
  <sheetData>
    <row r="1" spans="2:13" ht="20.100000000000001" customHeight="1" x14ac:dyDescent="0.15"/>
    <row r="2" spans="2:13" x14ac:dyDescent="0.15">
      <c r="B2" s="39"/>
      <c r="C2" s="40"/>
      <c r="D2" s="40"/>
      <c r="E2" s="40"/>
      <c r="F2" s="40"/>
      <c r="G2" s="40"/>
      <c r="H2" s="41"/>
    </row>
    <row r="3" spans="2:13" x14ac:dyDescent="0.15">
      <c r="B3" s="42"/>
      <c r="H3" s="43"/>
    </row>
    <row r="4" spans="2:13" ht="13.5" customHeight="1" x14ac:dyDescent="0.15">
      <c r="B4" s="42"/>
      <c r="D4" s="669" t="s">
        <v>325</v>
      </c>
      <c r="E4" s="669"/>
      <c r="F4" s="669"/>
      <c r="H4" s="43"/>
    </row>
    <row r="5" spans="2:13" ht="13.5" customHeight="1" x14ac:dyDescent="0.15">
      <c r="B5" s="42"/>
      <c r="D5" s="670"/>
      <c r="E5" s="670"/>
      <c r="F5" s="670"/>
      <c r="H5" s="43"/>
      <c r="M5" s="666"/>
    </row>
    <row r="6" spans="2:13" ht="14.25" customHeight="1" thickBot="1" x14ac:dyDescent="0.2">
      <c r="B6" s="42"/>
      <c r="D6" s="671"/>
      <c r="E6" s="671"/>
      <c r="F6" s="671"/>
      <c r="H6" s="43"/>
    </row>
    <row r="7" spans="2:13" x14ac:dyDescent="0.15">
      <c r="B7" s="42"/>
      <c r="H7" s="43"/>
    </row>
    <row r="8" spans="2:13" x14ac:dyDescent="0.15">
      <c r="B8" s="42"/>
      <c r="H8" s="43"/>
    </row>
    <row r="9" spans="2:13" x14ac:dyDescent="0.15">
      <c r="B9" s="42"/>
      <c r="H9" s="43"/>
    </row>
    <row r="10" spans="2:13" x14ac:dyDescent="0.15">
      <c r="B10" s="42"/>
      <c r="H10" s="43"/>
    </row>
    <row r="11" spans="2:13" x14ac:dyDescent="0.15">
      <c r="B11" s="42"/>
      <c r="H11" s="43"/>
    </row>
    <row r="12" spans="2:13" x14ac:dyDescent="0.15">
      <c r="B12" s="42"/>
      <c r="H12" s="43"/>
    </row>
    <row r="13" spans="2:13" x14ac:dyDescent="0.15">
      <c r="B13" s="42"/>
      <c r="H13" s="43"/>
    </row>
    <row r="14" spans="2:13" ht="13.5" customHeight="1" x14ac:dyDescent="0.15">
      <c r="B14" s="42"/>
      <c r="C14" s="130"/>
      <c r="D14" s="130"/>
      <c r="E14" s="130"/>
      <c r="F14" s="130"/>
      <c r="G14" s="130"/>
      <c r="H14" s="43"/>
    </row>
    <row r="15" spans="2:13" ht="13.5" customHeight="1" x14ac:dyDescent="0.15">
      <c r="B15" s="42"/>
      <c r="C15" s="130"/>
      <c r="D15" s="130"/>
      <c r="E15" s="130"/>
      <c r="F15" s="130"/>
      <c r="G15" s="130"/>
      <c r="H15" s="43"/>
    </row>
    <row r="16" spans="2:13" ht="13.5" customHeight="1" x14ac:dyDescent="0.15">
      <c r="B16" s="42"/>
      <c r="C16" s="130"/>
      <c r="D16" s="130"/>
      <c r="E16" s="130"/>
      <c r="F16" s="130"/>
      <c r="G16" s="130"/>
      <c r="H16" s="43"/>
    </row>
    <row r="17" spans="2:8" ht="13.5" customHeight="1" x14ac:dyDescent="0.15">
      <c r="B17" s="42"/>
      <c r="C17" s="130"/>
      <c r="D17" s="130"/>
      <c r="E17" s="130"/>
      <c r="F17" s="130"/>
      <c r="G17" s="130"/>
      <c r="H17" s="43"/>
    </row>
    <row r="18" spans="2:8" ht="13.5" customHeight="1" x14ac:dyDescent="0.15">
      <c r="B18" s="42"/>
      <c r="C18" s="130"/>
      <c r="D18" s="130"/>
      <c r="E18" s="130"/>
      <c r="F18" s="130"/>
      <c r="G18" s="130"/>
      <c r="H18" s="43"/>
    </row>
    <row r="19" spans="2:8" ht="13.5" customHeight="1" x14ac:dyDescent="0.15">
      <c r="B19" s="42"/>
      <c r="C19" s="130"/>
      <c r="D19" s="130"/>
      <c r="E19" s="130"/>
      <c r="F19" s="130"/>
      <c r="G19" s="130"/>
      <c r="H19" s="43"/>
    </row>
    <row r="20" spans="2:8" x14ac:dyDescent="0.15">
      <c r="B20" s="42"/>
      <c r="H20" s="43"/>
    </row>
    <row r="21" spans="2:8" x14ac:dyDescent="0.15">
      <c r="B21" s="42"/>
      <c r="H21" s="43"/>
    </row>
    <row r="22" spans="2:8" x14ac:dyDescent="0.15">
      <c r="B22" s="42"/>
      <c r="H22" s="43"/>
    </row>
    <row r="23" spans="2:8" x14ac:dyDescent="0.15">
      <c r="B23" s="42"/>
      <c r="H23" s="43"/>
    </row>
    <row r="24" spans="2:8" x14ac:dyDescent="0.15">
      <c r="B24" s="42"/>
      <c r="H24" s="43"/>
    </row>
    <row r="25" spans="2:8" x14ac:dyDescent="0.15">
      <c r="B25" s="42"/>
      <c r="H25" s="43"/>
    </row>
    <row r="26" spans="2:8" x14ac:dyDescent="0.15">
      <c r="B26" s="42"/>
      <c r="H26" s="43"/>
    </row>
    <row r="27" spans="2:8" x14ac:dyDescent="0.15">
      <c r="B27" s="42"/>
      <c r="H27" s="43"/>
    </row>
    <row r="28" spans="2:8" x14ac:dyDescent="0.15">
      <c r="B28" s="42"/>
      <c r="H28" s="43"/>
    </row>
    <row r="29" spans="2:8" x14ac:dyDescent="0.15">
      <c r="B29" s="42"/>
      <c r="H29" s="43"/>
    </row>
    <row r="30" spans="2:8" x14ac:dyDescent="0.15">
      <c r="B30" s="42"/>
      <c r="H30" s="43"/>
    </row>
    <row r="31" spans="2:8" x14ac:dyDescent="0.15">
      <c r="B31" s="42"/>
      <c r="H31" s="43"/>
    </row>
    <row r="32" spans="2:8" x14ac:dyDescent="0.15">
      <c r="B32" s="42"/>
      <c r="H32" s="43"/>
    </row>
    <row r="33" spans="2:8" x14ac:dyDescent="0.15">
      <c r="B33" s="42"/>
      <c r="H33" s="43"/>
    </row>
    <row r="34" spans="2:8" x14ac:dyDescent="0.15">
      <c r="B34" s="42"/>
      <c r="H34" s="43"/>
    </row>
    <row r="35" spans="2:8" x14ac:dyDescent="0.15">
      <c r="B35" s="42"/>
      <c r="H35" s="43"/>
    </row>
    <row r="36" spans="2:8" x14ac:dyDescent="0.15">
      <c r="B36" s="42"/>
      <c r="H36" s="43"/>
    </row>
    <row r="37" spans="2:8" x14ac:dyDescent="0.15">
      <c r="B37" s="42"/>
      <c r="H37" s="43"/>
    </row>
    <row r="38" spans="2:8" x14ac:dyDescent="0.15">
      <c r="B38" s="42"/>
      <c r="H38" s="43"/>
    </row>
    <row r="39" spans="2:8" x14ac:dyDescent="0.15">
      <c r="B39" s="42"/>
      <c r="H39" s="43"/>
    </row>
    <row r="40" spans="2:8" x14ac:dyDescent="0.15">
      <c r="B40" s="42"/>
      <c r="H40" s="43"/>
    </row>
    <row r="41" spans="2:8" x14ac:dyDescent="0.15">
      <c r="B41" s="42"/>
      <c r="H41" s="43"/>
    </row>
    <row r="42" spans="2:8" x14ac:dyDescent="0.15">
      <c r="B42" s="42"/>
      <c r="H42" s="43"/>
    </row>
    <row r="43" spans="2:8" x14ac:dyDescent="0.15">
      <c r="B43" s="42"/>
      <c r="H43" s="43"/>
    </row>
    <row r="44" spans="2:8" x14ac:dyDescent="0.15">
      <c r="B44" s="42"/>
      <c r="H44" s="43"/>
    </row>
    <row r="45" spans="2:8" x14ac:dyDescent="0.15">
      <c r="B45" s="42"/>
      <c r="H45" s="43"/>
    </row>
    <row r="46" spans="2:8" x14ac:dyDescent="0.15">
      <c r="B46" s="42"/>
      <c r="H46" s="43"/>
    </row>
    <row r="47" spans="2:8" x14ac:dyDescent="0.15">
      <c r="B47" s="42"/>
      <c r="H47" s="43"/>
    </row>
    <row r="48" spans="2:8" x14ac:dyDescent="0.15">
      <c r="B48" s="42"/>
      <c r="H48" s="43"/>
    </row>
    <row r="49" spans="2:8" x14ac:dyDescent="0.15">
      <c r="B49" s="42"/>
      <c r="H49" s="43"/>
    </row>
    <row r="50" spans="2:8" x14ac:dyDescent="0.15">
      <c r="B50" s="42"/>
      <c r="H50" s="43"/>
    </row>
    <row r="51" spans="2:8" x14ac:dyDescent="0.15">
      <c r="B51" s="42"/>
      <c r="H51" s="43"/>
    </row>
    <row r="52" spans="2:8" x14ac:dyDescent="0.15">
      <c r="B52" s="44"/>
      <c r="C52" s="45"/>
      <c r="D52" s="45"/>
      <c r="E52" s="45"/>
      <c r="F52" s="45"/>
      <c r="G52" s="45"/>
      <c r="H52" s="46"/>
    </row>
    <row r="53" spans="2:8" customFormat="1" ht="15" customHeight="1" ph="1" x14ac:dyDescent="0.15"/>
  </sheetData>
  <mergeCells count="1">
    <mergeCell ref="D4:F6"/>
  </mergeCells>
  <phoneticPr fontId="2" type="noConversion"/>
  <pageMargins left="0.43307086614173229" right="0.43307086614173229" top="0.82677165354330717" bottom="0.70866141732283472" header="0.82677165354330717" footer="0.47244094488188981"/>
  <pageSetup paperSize="9" fitToHeight="0" orientation="portrait" r:id="rId1"/>
  <headerFooter>
    <oddFooter>&amp;L사회복지법인 밀알복지재단&amp;C&amp;P/&amp;N&amp;R&amp;"+,굵게"&amp;12&amp;K0070C0Goodwill Store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5"/>
  <sheetViews>
    <sheetView tabSelected="1" zoomScale="115" zoomScaleNormal="115" workbookViewId="0">
      <selection activeCell="K19" sqref="K19"/>
    </sheetView>
  </sheetViews>
  <sheetFormatPr defaultRowHeight="12" x14ac:dyDescent="0.15"/>
  <cols>
    <col min="1" max="3" width="0.88671875" style="1" customWidth="1"/>
    <col min="4" max="4" width="12.88671875" style="24" customWidth="1"/>
    <col min="5" max="7" width="8.77734375" style="24" customWidth="1"/>
    <col min="8" max="10" width="0.88671875" style="1" customWidth="1"/>
    <col min="11" max="11" width="12.6640625" style="1" customWidth="1"/>
    <col min="12" max="14" width="8.77734375" style="1" customWidth="1"/>
    <col min="15" max="16384" width="8.88671875" style="1"/>
  </cols>
  <sheetData>
    <row r="1" spans="1:16" ht="24.95" customHeight="1" x14ac:dyDescent="0.15">
      <c r="A1" s="701" t="s">
        <v>326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</row>
    <row r="2" spans="1:16" ht="13.5" customHeight="1" x14ac:dyDescent="0.15">
      <c r="A2" s="706" t="s">
        <v>570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274"/>
    </row>
    <row r="3" spans="1:16" ht="20.100000000000001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128"/>
      <c r="M3" s="81"/>
      <c r="N3" s="81"/>
    </row>
    <row r="4" spans="1:16" ht="15" customHeight="1" x14ac:dyDescent="0.15">
      <c r="A4" s="702" t="s">
        <v>190</v>
      </c>
      <c r="B4" s="703"/>
      <c r="C4" s="703"/>
      <c r="D4" s="704"/>
      <c r="E4" s="127"/>
      <c r="F4" s="82"/>
      <c r="G4" s="83"/>
      <c r="H4" s="702" t="s">
        <v>191</v>
      </c>
      <c r="I4" s="703"/>
      <c r="J4" s="703"/>
      <c r="K4" s="704"/>
      <c r="L4" s="705" t="s">
        <v>192</v>
      </c>
      <c r="M4" s="705"/>
      <c r="N4" s="705"/>
    </row>
    <row r="5" spans="1:16" s="28" customFormat="1" ht="12.95" customHeight="1" x14ac:dyDescent="0.15">
      <c r="A5" s="686" t="s">
        <v>64</v>
      </c>
      <c r="B5" s="687"/>
      <c r="C5" s="687"/>
      <c r="D5" s="688"/>
      <c r="E5" s="684" t="s">
        <v>727</v>
      </c>
      <c r="F5" s="684" t="s">
        <v>726</v>
      </c>
      <c r="G5" s="689" t="s">
        <v>0</v>
      </c>
      <c r="H5" s="686" t="s">
        <v>64</v>
      </c>
      <c r="I5" s="687"/>
      <c r="J5" s="687"/>
      <c r="K5" s="688"/>
      <c r="L5" s="684" t="s">
        <v>727</v>
      </c>
      <c r="M5" s="684" t="s">
        <v>726</v>
      </c>
      <c r="N5" s="693" t="s">
        <v>0</v>
      </c>
    </row>
    <row r="6" spans="1:16" s="28" customFormat="1" ht="12.95" customHeight="1" x14ac:dyDescent="0.15">
      <c r="A6" s="2"/>
      <c r="B6" s="2"/>
      <c r="C6" s="2"/>
      <c r="D6" s="3" t="s">
        <v>66</v>
      </c>
      <c r="E6" s="685"/>
      <c r="F6" s="685"/>
      <c r="G6" s="690"/>
      <c r="H6" s="25"/>
      <c r="I6" s="25"/>
      <c r="J6" s="25"/>
      <c r="K6" s="3" t="s">
        <v>65</v>
      </c>
      <c r="L6" s="685"/>
      <c r="M6" s="685"/>
      <c r="N6" s="694"/>
    </row>
    <row r="7" spans="1:16" ht="18.2" customHeight="1" x14ac:dyDescent="0.15">
      <c r="A7" s="691" t="s">
        <v>24</v>
      </c>
      <c r="B7" s="692"/>
      <c r="C7" s="692"/>
      <c r="D7" s="692"/>
      <c r="E7" s="427">
        <v>4690987</v>
      </c>
      <c r="F7" s="33">
        <f>SUM(F8,F13,F16,F20,F23,F28,F31)</f>
        <v>4124175.5929999999</v>
      </c>
      <c r="G7" s="33">
        <f>SUM(G8,G13,G16,G20,G23,G28,G31)</f>
        <v>-566811.40700000001</v>
      </c>
      <c r="H7" s="695" t="s">
        <v>17</v>
      </c>
      <c r="I7" s="696"/>
      <c r="J7" s="696"/>
      <c r="K7" s="696"/>
      <c r="L7" s="34">
        <v>4690987</v>
      </c>
      <c r="M7" s="34">
        <f>SUM(M8,M25,M30,M40,M43,M46,M51)</f>
        <v>4124176.0349999997</v>
      </c>
      <c r="N7" s="34">
        <f>M7-L7</f>
        <v>-566810.96500000032</v>
      </c>
      <c r="O7" s="133">
        <f>G7-N7</f>
        <v>-0.44199999968986958</v>
      </c>
      <c r="P7" s="133"/>
    </row>
    <row r="8" spans="1:16" s="4" customFormat="1" ht="18.2" customHeight="1" x14ac:dyDescent="0.15">
      <c r="A8" s="675" t="s">
        <v>13</v>
      </c>
      <c r="B8" s="676"/>
      <c r="C8" s="676"/>
      <c r="D8" s="677"/>
      <c r="E8" s="428">
        <v>2431874</v>
      </c>
      <c r="F8" s="31">
        <f>SUM(F9)</f>
        <v>1939970</v>
      </c>
      <c r="G8" s="31">
        <f>SUM(G9)</f>
        <v>-491904</v>
      </c>
      <c r="H8" s="681" t="s">
        <v>1</v>
      </c>
      <c r="I8" s="697"/>
      <c r="J8" s="697"/>
      <c r="K8" s="698"/>
      <c r="L8" s="32">
        <v>1634237</v>
      </c>
      <c r="M8" s="32">
        <f>SUM(M9,M16,M19)</f>
        <v>1577124.186</v>
      </c>
      <c r="N8" s="32">
        <f>SUM(N9,N16,N19)</f>
        <v>-52712.81399999994</v>
      </c>
    </row>
    <row r="9" spans="1:16" s="6" customFormat="1" ht="18.2" customHeight="1" x14ac:dyDescent="0.15">
      <c r="A9" s="5"/>
      <c r="B9" s="675" t="s">
        <v>14</v>
      </c>
      <c r="C9" s="676"/>
      <c r="D9" s="677"/>
      <c r="E9" s="428">
        <v>2431874</v>
      </c>
      <c r="F9" s="31">
        <f>SUM(F10:F12)</f>
        <v>1939970</v>
      </c>
      <c r="G9" s="31">
        <f t="shared" ref="G9" si="0">SUM(G10:G12)</f>
        <v>-491904</v>
      </c>
      <c r="H9" s="5"/>
      <c r="I9" s="681" t="s">
        <v>16</v>
      </c>
      <c r="J9" s="697"/>
      <c r="K9" s="698"/>
      <c r="L9" s="32">
        <v>1253291</v>
      </c>
      <c r="M9" s="32">
        <f>SUM(M10:M15)</f>
        <v>1235438.186</v>
      </c>
      <c r="N9" s="32">
        <f t="shared" ref="N9" si="1">SUM(N10:N15)</f>
        <v>-17852.81399999994</v>
      </c>
    </row>
    <row r="10" spans="1:16" s="8" customFormat="1" ht="18.2" customHeight="1" x14ac:dyDescent="0.15">
      <c r="A10" s="5"/>
      <c r="B10" s="5"/>
      <c r="C10" s="699" t="s">
        <v>23</v>
      </c>
      <c r="D10" s="700"/>
      <c r="E10" s="16">
        <v>2294043</v>
      </c>
      <c r="F10" s="16">
        <f>세입내역!F9+세입내역!F10</f>
        <v>1872000</v>
      </c>
      <c r="G10" s="7">
        <f>SUM(F10-E10)</f>
        <v>-422043</v>
      </c>
      <c r="H10" s="5"/>
      <c r="I10" s="5"/>
      <c r="J10" s="673" t="s">
        <v>2</v>
      </c>
      <c r="K10" s="674"/>
      <c r="L10" s="26">
        <v>823235</v>
      </c>
      <c r="M10" s="22">
        <f>세출내역!F9</f>
        <v>774467.56</v>
      </c>
      <c r="N10" s="26">
        <f>M10-L10</f>
        <v>-48767.439999999944</v>
      </c>
    </row>
    <row r="11" spans="1:16" s="4" customFormat="1" ht="18.2" customHeight="1" x14ac:dyDescent="0.15">
      <c r="A11" s="29"/>
      <c r="B11" s="5"/>
      <c r="C11" s="673" t="s">
        <v>32</v>
      </c>
      <c r="D11" s="674"/>
      <c r="E11" s="16">
        <v>64581</v>
      </c>
      <c r="F11" s="7">
        <f>세입내역!F13</f>
        <v>22800</v>
      </c>
      <c r="G11" s="22">
        <f>SUM(F11-E11)</f>
        <v>-41781</v>
      </c>
      <c r="H11" s="5"/>
      <c r="I11" s="5"/>
      <c r="J11" s="673" t="s">
        <v>55</v>
      </c>
      <c r="K11" s="674"/>
      <c r="L11" s="17">
        <v>150645</v>
      </c>
      <c r="M11" s="17">
        <f>세출내역!F54</f>
        <v>150645.39600000001</v>
      </c>
      <c r="N11" s="26">
        <f t="shared" ref="N11:N15" si="2">M11-L11</f>
        <v>0.39600000000791624</v>
      </c>
    </row>
    <row r="12" spans="1:16" s="4" customFormat="1" ht="18.2" customHeight="1" x14ac:dyDescent="0.15">
      <c r="A12" s="29"/>
      <c r="B12" s="13"/>
      <c r="C12" s="678" t="s">
        <v>150</v>
      </c>
      <c r="D12" s="679"/>
      <c r="E12" s="16">
        <v>73250</v>
      </c>
      <c r="F12" s="7">
        <f>세입내역!F14</f>
        <v>45170</v>
      </c>
      <c r="G12" s="10">
        <f>SUM(F12-E12)</f>
        <v>-28080</v>
      </c>
      <c r="H12" s="5"/>
      <c r="I12" s="5"/>
      <c r="J12" s="673" t="s">
        <v>56</v>
      </c>
      <c r="K12" s="674"/>
      <c r="L12" s="26">
        <v>50424</v>
      </c>
      <c r="M12" s="26">
        <f>세출내역!F193</f>
        <v>99191.5</v>
      </c>
      <c r="N12" s="26">
        <f t="shared" si="2"/>
        <v>48767.5</v>
      </c>
    </row>
    <row r="13" spans="1:16" s="6" customFormat="1" ht="18.2" customHeight="1" x14ac:dyDescent="0.15">
      <c r="A13" s="675" t="s">
        <v>35</v>
      </c>
      <c r="B13" s="676"/>
      <c r="C13" s="676"/>
      <c r="D13" s="677"/>
      <c r="E13" s="428">
        <v>0</v>
      </c>
      <c r="F13" s="31">
        <f t="shared" ref="F13:G14" si="3">SUM(F14)</f>
        <v>0</v>
      </c>
      <c r="G13" s="31">
        <f t="shared" si="3"/>
        <v>0</v>
      </c>
      <c r="H13" s="5"/>
      <c r="I13" s="5"/>
      <c r="J13" s="673" t="s">
        <v>57</v>
      </c>
      <c r="K13" s="674"/>
      <c r="L13" s="18">
        <v>77913</v>
      </c>
      <c r="M13" s="18">
        <f>세출내역!F196</f>
        <v>74011.09</v>
      </c>
      <c r="N13" s="26">
        <f t="shared" si="2"/>
        <v>-3901.9100000000035</v>
      </c>
    </row>
    <row r="14" spans="1:16" s="8" customFormat="1" ht="18.2" customHeight="1" x14ac:dyDescent="0.15">
      <c r="A14" s="5"/>
      <c r="B14" s="675" t="s">
        <v>36</v>
      </c>
      <c r="C14" s="676"/>
      <c r="D14" s="677"/>
      <c r="E14" s="428">
        <v>0</v>
      </c>
      <c r="F14" s="31">
        <f t="shared" si="3"/>
        <v>0</v>
      </c>
      <c r="G14" s="31">
        <f t="shared" si="3"/>
        <v>0</v>
      </c>
      <c r="H14" s="5"/>
      <c r="I14" s="5"/>
      <c r="J14" s="673" t="s">
        <v>58</v>
      </c>
      <c r="K14" s="674"/>
      <c r="L14" s="26">
        <v>104107</v>
      </c>
      <c r="M14" s="26">
        <f>세출내역!F197</f>
        <v>98895.64</v>
      </c>
      <c r="N14" s="26">
        <f t="shared" si="2"/>
        <v>-5211.3600000000006</v>
      </c>
    </row>
    <row r="15" spans="1:16" s="8" customFormat="1" ht="18.2" customHeight="1" x14ac:dyDescent="0.15">
      <c r="A15" s="5"/>
      <c r="B15" s="5"/>
      <c r="C15" s="673" t="s">
        <v>37</v>
      </c>
      <c r="D15" s="674"/>
      <c r="E15" s="17">
        <v>0</v>
      </c>
      <c r="F15" s="10">
        <f>세입내역!F19</f>
        <v>0</v>
      </c>
      <c r="G15" s="7">
        <f>SUM(F15-E15)</f>
        <v>0</v>
      </c>
      <c r="H15" s="5"/>
      <c r="I15" s="5"/>
      <c r="J15" s="673" t="s">
        <v>59</v>
      </c>
      <c r="K15" s="674"/>
      <c r="L15" s="18">
        <v>46967</v>
      </c>
      <c r="M15" s="14">
        <f>세출내역!F203</f>
        <v>38227</v>
      </c>
      <c r="N15" s="26">
        <f t="shared" si="2"/>
        <v>-8740</v>
      </c>
    </row>
    <row r="16" spans="1:16" s="6" customFormat="1" ht="18.2" customHeight="1" x14ac:dyDescent="0.15">
      <c r="A16" s="675" t="s">
        <v>38</v>
      </c>
      <c r="B16" s="676"/>
      <c r="C16" s="676"/>
      <c r="D16" s="677"/>
      <c r="E16" s="428">
        <v>903809</v>
      </c>
      <c r="F16" s="31">
        <f t="shared" ref="F16:G16" si="4">SUM(F17)</f>
        <v>838382</v>
      </c>
      <c r="G16" s="31">
        <f t="shared" si="4"/>
        <v>-65427</v>
      </c>
      <c r="H16" s="5"/>
      <c r="I16" s="681" t="s">
        <v>3</v>
      </c>
      <c r="J16" s="682"/>
      <c r="K16" s="683"/>
      <c r="L16" s="32">
        <v>8900</v>
      </c>
      <c r="M16" s="32">
        <f>SUM(M17:M18)</f>
        <v>2000</v>
      </c>
      <c r="N16" s="32">
        <f>SUM(N17:N18)</f>
        <v>-6900</v>
      </c>
    </row>
    <row r="17" spans="1:15" s="8" customFormat="1" ht="18.2" customHeight="1" x14ac:dyDescent="0.15">
      <c r="A17" s="5"/>
      <c r="B17" s="675" t="s">
        <v>39</v>
      </c>
      <c r="C17" s="676"/>
      <c r="D17" s="677"/>
      <c r="E17" s="428">
        <v>903809</v>
      </c>
      <c r="F17" s="31">
        <f>SUM(F18:F19)</f>
        <v>838382</v>
      </c>
      <c r="G17" s="31">
        <f t="shared" ref="G17" si="5">SUM(G18:G19)</f>
        <v>-65427</v>
      </c>
      <c r="H17" s="5"/>
      <c r="I17" s="20"/>
      <c r="J17" s="673" t="s">
        <v>4</v>
      </c>
      <c r="K17" s="674"/>
      <c r="L17" s="26">
        <v>5400</v>
      </c>
      <c r="M17" s="22">
        <f>세출내역!F221</f>
        <v>750</v>
      </c>
      <c r="N17" s="26">
        <f t="shared" ref="N17:N18" si="6">M17-L17</f>
        <v>-4650</v>
      </c>
    </row>
    <row r="18" spans="1:15" ht="18.2" customHeight="1" x14ac:dyDescent="0.15">
      <c r="A18" s="5"/>
      <c r="B18" s="5"/>
      <c r="C18" s="673" t="s">
        <v>40</v>
      </c>
      <c r="D18" s="674"/>
      <c r="E18" s="17">
        <v>825809</v>
      </c>
      <c r="F18" s="10">
        <f>세입내역!F26</f>
        <v>769142</v>
      </c>
      <c r="G18" s="10">
        <f>SUM(F18-E18)</f>
        <v>-56667</v>
      </c>
      <c r="H18" s="5"/>
      <c r="I18" s="5"/>
      <c r="J18" s="673" t="s">
        <v>5</v>
      </c>
      <c r="K18" s="674"/>
      <c r="L18" s="26">
        <v>3500</v>
      </c>
      <c r="M18" s="22">
        <f>세출내역!F225</f>
        <v>1250</v>
      </c>
      <c r="N18" s="26">
        <f t="shared" si="6"/>
        <v>-2250</v>
      </c>
      <c r="O18" s="126"/>
    </row>
    <row r="19" spans="1:15" ht="18.2" customHeight="1" x14ac:dyDescent="0.15">
      <c r="A19" s="29"/>
      <c r="B19" s="19"/>
      <c r="C19" s="678" t="s">
        <v>63</v>
      </c>
      <c r="D19" s="679"/>
      <c r="E19" s="26">
        <v>78000</v>
      </c>
      <c r="F19" s="22">
        <f>세입내역!F34</f>
        <v>69240</v>
      </c>
      <c r="G19" s="7">
        <f>SUM(F19-E19)</f>
        <v>-8760</v>
      </c>
      <c r="H19" s="5"/>
      <c r="I19" s="681" t="s">
        <v>6</v>
      </c>
      <c r="J19" s="682"/>
      <c r="K19" s="683"/>
      <c r="L19" s="35">
        <v>372046</v>
      </c>
      <c r="M19" s="35">
        <f>SUM(M20:M24)</f>
        <v>339686</v>
      </c>
      <c r="N19" s="35">
        <f t="shared" ref="N19" si="7">SUM(N20:N23)</f>
        <v>-27960</v>
      </c>
    </row>
    <row r="20" spans="1:15" ht="18.2" customHeight="1" x14ac:dyDescent="0.15">
      <c r="A20" s="675" t="s">
        <v>41</v>
      </c>
      <c r="B20" s="676"/>
      <c r="C20" s="676"/>
      <c r="D20" s="677"/>
      <c r="E20" s="428">
        <v>16000</v>
      </c>
      <c r="F20" s="31">
        <f>SUM(F21)</f>
        <v>16000</v>
      </c>
      <c r="G20" s="31">
        <f>SUM(G21)</f>
        <v>0</v>
      </c>
      <c r="H20" s="5"/>
      <c r="I20" s="5"/>
      <c r="J20" s="673" t="s">
        <v>73</v>
      </c>
      <c r="K20" s="674"/>
      <c r="L20" s="26">
        <v>3440</v>
      </c>
      <c r="M20" s="22">
        <f>세출내역!F229</f>
        <v>3440</v>
      </c>
      <c r="N20" s="26">
        <f t="shared" ref="N20:N24" si="8">M20-L20</f>
        <v>0</v>
      </c>
    </row>
    <row r="21" spans="1:15" ht="18.2" customHeight="1" x14ac:dyDescent="0.15">
      <c r="A21" s="5"/>
      <c r="B21" s="675" t="s">
        <v>42</v>
      </c>
      <c r="C21" s="676"/>
      <c r="D21" s="677"/>
      <c r="E21" s="428">
        <v>16000</v>
      </c>
      <c r="F21" s="31">
        <f>SUM(F22)</f>
        <v>16000</v>
      </c>
      <c r="G21" s="31">
        <f>SUM(G22:G22)</f>
        <v>0</v>
      </c>
      <c r="H21" s="5"/>
      <c r="I21" s="5"/>
      <c r="J21" s="673" t="s">
        <v>60</v>
      </c>
      <c r="K21" s="674"/>
      <c r="L21" s="17">
        <v>75410</v>
      </c>
      <c r="M21" s="10">
        <f>세출내역!F232</f>
        <v>59410</v>
      </c>
      <c r="N21" s="26">
        <f t="shared" si="8"/>
        <v>-16000</v>
      </c>
    </row>
    <row r="22" spans="1:15" ht="18.2" customHeight="1" x14ac:dyDescent="0.15">
      <c r="A22" s="5"/>
      <c r="B22" s="5"/>
      <c r="C22" s="673" t="s">
        <v>43</v>
      </c>
      <c r="D22" s="674"/>
      <c r="E22" s="16">
        <v>16000</v>
      </c>
      <c r="F22" s="7">
        <f>세입내역!F38</f>
        <v>16000</v>
      </c>
      <c r="G22" s="22">
        <f>SUM(F22-E22)</f>
        <v>0</v>
      </c>
      <c r="H22" s="5"/>
      <c r="I22" s="5"/>
      <c r="J22" s="673" t="s">
        <v>61</v>
      </c>
      <c r="K22" s="674"/>
      <c r="L22" s="26">
        <v>131620</v>
      </c>
      <c r="M22" s="22">
        <f>세출내역!F250</f>
        <v>136620</v>
      </c>
      <c r="N22" s="26">
        <f t="shared" si="8"/>
        <v>5000</v>
      </c>
    </row>
    <row r="23" spans="1:15" ht="18.2" customHeight="1" x14ac:dyDescent="0.15">
      <c r="A23" s="675" t="s">
        <v>44</v>
      </c>
      <c r="B23" s="676"/>
      <c r="C23" s="676"/>
      <c r="D23" s="677"/>
      <c r="E23" s="428">
        <v>240000</v>
      </c>
      <c r="F23" s="31">
        <f>SUM(F24)</f>
        <v>240000</v>
      </c>
      <c r="G23" s="31">
        <f>G24</f>
        <v>0</v>
      </c>
      <c r="H23" s="5"/>
      <c r="I23" s="5"/>
      <c r="J23" s="673" t="s">
        <v>62</v>
      </c>
      <c r="K23" s="674"/>
      <c r="L23" s="26">
        <v>48160</v>
      </c>
      <c r="M23" s="22">
        <f>세출내역!F267</f>
        <v>31200</v>
      </c>
      <c r="N23" s="26">
        <f t="shared" si="8"/>
        <v>-16960</v>
      </c>
    </row>
    <row r="24" spans="1:15" ht="18.2" customHeight="1" x14ac:dyDescent="0.15">
      <c r="A24" s="5"/>
      <c r="B24" s="675" t="s">
        <v>45</v>
      </c>
      <c r="C24" s="676"/>
      <c r="D24" s="677"/>
      <c r="E24" s="428">
        <v>240000</v>
      </c>
      <c r="F24" s="31">
        <f t="shared" ref="F24:G24" si="9">SUM(F25:F26)</f>
        <v>240000</v>
      </c>
      <c r="G24" s="31">
        <f t="shared" si="9"/>
        <v>0</v>
      </c>
      <c r="H24" s="29"/>
      <c r="I24" s="5"/>
      <c r="J24" s="707" t="s">
        <v>299</v>
      </c>
      <c r="K24" s="708"/>
      <c r="L24" s="176">
        <v>113416</v>
      </c>
      <c r="M24" s="176">
        <f>세출내역!F245</f>
        <v>109016</v>
      </c>
      <c r="N24" s="177">
        <f t="shared" si="8"/>
        <v>-4400</v>
      </c>
    </row>
    <row r="25" spans="1:15" ht="18.2" customHeight="1" x14ac:dyDescent="0.15">
      <c r="A25" s="5"/>
      <c r="B25" s="5"/>
      <c r="C25" s="673" t="s">
        <v>75</v>
      </c>
      <c r="D25" s="674"/>
      <c r="E25" s="17"/>
      <c r="F25" s="10">
        <f>세입내역!F46</f>
        <v>13428.58</v>
      </c>
      <c r="G25" s="7">
        <f>SUM(F25-E25)</f>
        <v>13428.58</v>
      </c>
      <c r="H25" s="681" t="s">
        <v>7</v>
      </c>
      <c r="I25" s="682"/>
      <c r="J25" s="682"/>
      <c r="K25" s="683"/>
      <c r="L25" s="32">
        <v>442881</v>
      </c>
      <c r="M25" s="32">
        <f t="shared" ref="M25:N25" si="10">SUM(M26)</f>
        <v>259380</v>
      </c>
      <c r="N25" s="32">
        <f t="shared" si="10"/>
        <v>-183501</v>
      </c>
    </row>
    <row r="26" spans="1:15" ht="18.2" customHeight="1" x14ac:dyDescent="0.15">
      <c r="A26" s="29"/>
      <c r="B26" s="5"/>
      <c r="C26" s="678" t="s">
        <v>74</v>
      </c>
      <c r="D26" s="679"/>
      <c r="E26" s="26">
        <v>240000</v>
      </c>
      <c r="F26" s="22">
        <f>세입내역!F52</f>
        <v>226571.42</v>
      </c>
      <c r="G26" s="7">
        <f t="shared" ref="G26" si="11">SUM(F26-E26)</f>
        <v>-13428.579999999987</v>
      </c>
      <c r="H26" s="5"/>
      <c r="I26" s="681" t="s">
        <v>8</v>
      </c>
      <c r="J26" s="682"/>
      <c r="K26" s="683"/>
      <c r="L26" s="32">
        <v>442881</v>
      </c>
      <c r="M26" s="32">
        <f>SUM(M27:M29)</f>
        <v>259380</v>
      </c>
      <c r="N26" s="32">
        <f t="shared" ref="N26" si="12">SUM(N27:N29)</f>
        <v>-183501</v>
      </c>
    </row>
    <row r="27" spans="1:15" ht="18.2" customHeight="1" x14ac:dyDescent="0.15">
      <c r="A27" s="675" t="s">
        <v>46</v>
      </c>
      <c r="B27" s="676"/>
      <c r="C27" s="676"/>
      <c r="D27" s="677"/>
      <c r="E27" s="428">
        <v>1011154</v>
      </c>
      <c r="F27" s="31">
        <f>SUM(F28)</f>
        <v>1011153.593</v>
      </c>
      <c r="G27" s="31">
        <f>SUM(G28)</f>
        <v>-0.40700000000651926</v>
      </c>
      <c r="H27" s="5"/>
      <c r="I27" s="29"/>
      <c r="J27" s="678" t="s">
        <v>9</v>
      </c>
      <c r="K27" s="679"/>
      <c r="L27" s="26">
        <v>200500</v>
      </c>
      <c r="M27" s="22">
        <f>세출내역!F274</f>
        <v>200500</v>
      </c>
      <c r="N27" s="26">
        <f t="shared" ref="N27:N29" si="13">M27-L27</f>
        <v>0</v>
      </c>
    </row>
    <row r="28" spans="1:15" ht="18.2" customHeight="1" x14ac:dyDescent="0.15">
      <c r="A28" s="5"/>
      <c r="B28" s="675" t="s">
        <v>47</v>
      </c>
      <c r="C28" s="676"/>
      <c r="D28" s="677"/>
      <c r="E28" s="428">
        <v>1011154</v>
      </c>
      <c r="F28" s="31">
        <f t="shared" ref="F28:G28" si="14">SUM(F29)</f>
        <v>1011153.593</v>
      </c>
      <c r="G28" s="31">
        <f t="shared" si="14"/>
        <v>-0.40700000000651926</v>
      </c>
      <c r="H28" s="5"/>
      <c r="I28" s="5"/>
      <c r="J28" s="673" t="s">
        <v>10</v>
      </c>
      <c r="K28" s="674"/>
      <c r="L28" s="22">
        <v>167500</v>
      </c>
      <c r="M28" s="22">
        <f>세출내역!F279</f>
        <v>22200</v>
      </c>
      <c r="N28" s="26">
        <f t="shared" si="13"/>
        <v>-145300</v>
      </c>
    </row>
    <row r="29" spans="1:15" ht="18.2" customHeight="1" x14ac:dyDescent="0.15">
      <c r="A29" s="5"/>
      <c r="B29" s="5"/>
      <c r="C29" s="673" t="s">
        <v>48</v>
      </c>
      <c r="D29" s="674"/>
      <c r="E29" s="16">
        <v>1011154</v>
      </c>
      <c r="F29" s="7">
        <f>세입내역!F55</f>
        <v>1011153.593</v>
      </c>
      <c r="G29" s="7">
        <f>SUM(F29-E29)</f>
        <v>-0.40700000000651926</v>
      </c>
      <c r="H29" s="38"/>
      <c r="I29" s="21"/>
      <c r="J29" s="673" t="s">
        <v>11</v>
      </c>
      <c r="K29" s="674"/>
      <c r="L29" s="17">
        <v>74881</v>
      </c>
      <c r="M29" s="10">
        <f>세출내역!F285</f>
        <v>36680</v>
      </c>
      <c r="N29" s="26">
        <f t="shared" si="13"/>
        <v>-38201</v>
      </c>
    </row>
    <row r="30" spans="1:15" ht="18.2" customHeight="1" x14ac:dyDescent="0.15">
      <c r="A30" s="675" t="s">
        <v>49</v>
      </c>
      <c r="B30" s="676"/>
      <c r="C30" s="676"/>
      <c r="D30" s="677"/>
      <c r="E30" s="428">
        <v>88150</v>
      </c>
      <c r="F30" s="31">
        <f>SUM(F31)</f>
        <v>78670</v>
      </c>
      <c r="G30" s="31">
        <f>SUM(G31)</f>
        <v>-9480</v>
      </c>
      <c r="H30" s="681" t="s">
        <v>12</v>
      </c>
      <c r="I30" s="682"/>
      <c r="J30" s="682"/>
      <c r="K30" s="683"/>
      <c r="L30" s="32">
        <v>2500060</v>
      </c>
      <c r="M30" s="32">
        <f t="shared" ref="M30" si="15">SUM(M31)</f>
        <v>2146048.09</v>
      </c>
      <c r="N30" s="32">
        <f>SUM(N31)</f>
        <v>-354011.90999999992</v>
      </c>
      <c r="O30" s="133"/>
    </row>
    <row r="31" spans="1:15" ht="18.2" customHeight="1" x14ac:dyDescent="0.15">
      <c r="A31" s="15"/>
      <c r="B31" s="675" t="s">
        <v>50</v>
      </c>
      <c r="C31" s="676"/>
      <c r="D31" s="677"/>
      <c r="E31" s="428">
        <v>88150</v>
      </c>
      <c r="F31" s="31">
        <f t="shared" ref="F31" si="16">SUM(F32:F34)</f>
        <v>78670</v>
      </c>
      <c r="G31" s="31">
        <f t="shared" ref="G31" si="17">SUM(G32:G34)</f>
        <v>-9480</v>
      </c>
      <c r="H31" s="5"/>
      <c r="I31" s="681" t="s">
        <v>18</v>
      </c>
      <c r="J31" s="682"/>
      <c r="K31" s="683"/>
      <c r="L31" s="32">
        <v>2500060</v>
      </c>
      <c r="M31" s="32">
        <f t="shared" ref="M31" si="18">SUM(M32:M39)</f>
        <v>2146048.09</v>
      </c>
      <c r="N31" s="32">
        <f>SUM(N32:N39)</f>
        <v>-354011.90999999992</v>
      </c>
    </row>
    <row r="32" spans="1:15" ht="18.2" customHeight="1" x14ac:dyDescent="0.15">
      <c r="A32" s="5"/>
      <c r="B32" s="5"/>
      <c r="C32" s="673" t="s">
        <v>51</v>
      </c>
      <c r="D32" s="674"/>
      <c r="E32" s="18">
        <v>0</v>
      </c>
      <c r="F32" s="14">
        <v>0</v>
      </c>
      <c r="G32" s="22">
        <f>SUM(F32-E32)</f>
        <v>0</v>
      </c>
      <c r="H32" s="5"/>
      <c r="I32" s="5"/>
      <c r="J32" s="678" t="s">
        <v>19</v>
      </c>
      <c r="K32" s="679"/>
      <c r="L32" s="26">
        <v>285969</v>
      </c>
      <c r="M32" s="22">
        <f>세출내역!F298</f>
        <v>216360</v>
      </c>
      <c r="N32" s="26">
        <f t="shared" ref="N32:N39" si="19">M32-L32</f>
        <v>-69609</v>
      </c>
    </row>
    <row r="33" spans="1:14" ht="18.2" customHeight="1" x14ac:dyDescent="0.15">
      <c r="A33" s="5"/>
      <c r="B33" s="5"/>
      <c r="C33" s="673" t="s">
        <v>52</v>
      </c>
      <c r="D33" s="674"/>
      <c r="E33" s="26">
        <v>12200</v>
      </c>
      <c r="F33" s="22">
        <f>세입내역!F68</f>
        <v>12200</v>
      </c>
      <c r="G33" s="22">
        <f>SUM(F33-E33)</f>
        <v>0</v>
      </c>
      <c r="H33" s="5"/>
      <c r="I33" s="5"/>
      <c r="J33" s="673" t="s">
        <v>20</v>
      </c>
      <c r="K33" s="674"/>
      <c r="L33" s="26">
        <v>114000</v>
      </c>
      <c r="M33" s="22">
        <f>세출내역!F302</f>
        <v>114000</v>
      </c>
      <c r="N33" s="26">
        <f t="shared" si="19"/>
        <v>0</v>
      </c>
    </row>
    <row r="34" spans="1:14" ht="18.2" customHeight="1" x14ac:dyDescent="0.15">
      <c r="A34" s="13"/>
      <c r="B34" s="13"/>
      <c r="C34" s="673" t="s">
        <v>53</v>
      </c>
      <c r="D34" s="674"/>
      <c r="E34" s="26">
        <v>75950</v>
      </c>
      <c r="F34" s="22">
        <f>세입내역!F71</f>
        <v>66470</v>
      </c>
      <c r="G34" s="22">
        <f>SUM(F34-E34)</f>
        <v>-9480</v>
      </c>
      <c r="H34" s="5"/>
      <c r="I34" s="37"/>
      <c r="J34" s="673" t="s">
        <v>21</v>
      </c>
      <c r="K34" s="674"/>
      <c r="L34" s="17">
        <v>542140</v>
      </c>
      <c r="M34" s="10">
        <f>세출내역!F306</f>
        <v>397484.24</v>
      </c>
      <c r="N34" s="26">
        <f t="shared" si="19"/>
        <v>-144655.76</v>
      </c>
    </row>
    <row r="35" spans="1:14" ht="18.2" customHeight="1" x14ac:dyDescent="0.15">
      <c r="A35" s="131"/>
      <c r="B35" s="132"/>
      <c r="C35" s="680"/>
      <c r="D35" s="680"/>
      <c r="E35" s="135"/>
      <c r="F35" s="135"/>
      <c r="G35" s="134"/>
      <c r="H35" s="5"/>
      <c r="I35" s="5"/>
      <c r="J35" s="673" t="s">
        <v>22</v>
      </c>
      <c r="K35" s="674"/>
      <c r="L35" s="16">
        <v>55620</v>
      </c>
      <c r="M35" s="7">
        <f>세출내역!F349</f>
        <v>35020</v>
      </c>
      <c r="N35" s="26">
        <f t="shared" si="19"/>
        <v>-20600</v>
      </c>
    </row>
    <row r="36" spans="1:14" ht="18.2" customHeight="1" x14ac:dyDescent="0.15">
      <c r="A36" s="9"/>
      <c r="B36" s="9"/>
      <c r="C36" s="9"/>
      <c r="D36" s="9"/>
      <c r="E36" s="11"/>
      <c r="F36" s="11"/>
      <c r="G36" s="12"/>
      <c r="H36" s="5"/>
      <c r="I36" s="5"/>
      <c r="J36" s="673" t="s">
        <v>33</v>
      </c>
      <c r="K36" s="674"/>
      <c r="L36" s="26">
        <v>112220</v>
      </c>
      <c r="M36" s="26">
        <f>세출내역!F371</f>
        <v>73620</v>
      </c>
      <c r="N36" s="26">
        <f t="shared" si="19"/>
        <v>-38600</v>
      </c>
    </row>
    <row r="37" spans="1:14" ht="18.2" customHeight="1" x14ac:dyDescent="0.15">
      <c r="A37" s="9"/>
      <c r="B37" s="9"/>
      <c r="C37" s="672"/>
      <c r="D37" s="672"/>
      <c r="E37" s="11"/>
      <c r="F37" s="11"/>
      <c r="G37" s="11"/>
      <c r="H37" s="5"/>
      <c r="I37" s="5"/>
      <c r="J37" s="673" t="s">
        <v>34</v>
      </c>
      <c r="K37" s="674"/>
      <c r="L37" s="18">
        <v>25580</v>
      </c>
      <c r="M37" s="14">
        <f>세출내역!F382</f>
        <v>13580</v>
      </c>
      <c r="N37" s="26">
        <f t="shared" si="19"/>
        <v>-12000</v>
      </c>
    </row>
    <row r="38" spans="1:14" ht="18.2" customHeight="1" x14ac:dyDescent="0.15">
      <c r="A38" s="9"/>
      <c r="B38" s="9"/>
      <c r="C38" s="9"/>
      <c r="D38" s="9"/>
      <c r="E38" s="11"/>
      <c r="F38" s="11"/>
      <c r="G38" s="11"/>
      <c r="H38" s="5"/>
      <c r="I38" s="5"/>
      <c r="J38" s="673" t="s">
        <v>54</v>
      </c>
      <c r="K38" s="674"/>
      <c r="L38" s="26">
        <v>1341615</v>
      </c>
      <c r="M38" s="22">
        <f>세출내역!F388</f>
        <v>1278067.8500000001</v>
      </c>
      <c r="N38" s="26">
        <f t="shared" si="19"/>
        <v>-63547.149999999907</v>
      </c>
    </row>
    <row r="39" spans="1:14" ht="18.2" customHeight="1" x14ac:dyDescent="0.15">
      <c r="A39" s="9"/>
      <c r="B39" s="9"/>
      <c r="C39" s="672"/>
      <c r="D39" s="672"/>
      <c r="E39" s="11"/>
      <c r="F39" s="11"/>
      <c r="G39" s="12"/>
      <c r="H39" s="13"/>
      <c r="I39" s="13"/>
      <c r="J39" s="673" t="s">
        <v>300</v>
      </c>
      <c r="K39" s="674"/>
      <c r="L39" s="26">
        <v>22916</v>
      </c>
      <c r="M39" s="22">
        <f>세출내역!F441</f>
        <v>17916</v>
      </c>
      <c r="N39" s="26">
        <f t="shared" si="19"/>
        <v>-5000</v>
      </c>
    </row>
    <row r="40" spans="1:14" ht="18.2" customHeight="1" x14ac:dyDescent="0.15">
      <c r="A40" s="9"/>
      <c r="B40" s="9"/>
      <c r="C40" s="672"/>
      <c r="D40" s="672"/>
      <c r="E40" s="11"/>
      <c r="F40" s="11"/>
      <c r="G40" s="12"/>
      <c r="H40" s="681" t="s">
        <v>25</v>
      </c>
      <c r="I40" s="682"/>
      <c r="J40" s="682"/>
      <c r="K40" s="683"/>
      <c r="L40" s="36">
        <v>0</v>
      </c>
      <c r="M40" s="36">
        <f t="shared" ref="M40:M41" si="20">SUM(M41)</f>
        <v>0</v>
      </c>
      <c r="N40" s="36">
        <f>SUM(M40-L40)</f>
        <v>0</v>
      </c>
    </row>
    <row r="41" spans="1:14" ht="18.2" customHeight="1" x14ac:dyDescent="0.15">
      <c r="A41" s="9"/>
      <c r="B41" s="9"/>
      <c r="C41" s="672"/>
      <c r="D41" s="672"/>
      <c r="E41" s="11"/>
      <c r="F41" s="11"/>
      <c r="G41" s="12"/>
      <c r="H41" s="5"/>
      <c r="I41" s="681" t="s">
        <v>26</v>
      </c>
      <c r="J41" s="682"/>
      <c r="K41" s="683"/>
      <c r="L41" s="36">
        <v>0</v>
      </c>
      <c r="M41" s="36">
        <f t="shared" si="20"/>
        <v>0</v>
      </c>
      <c r="N41" s="36">
        <f>SUM(M41-L41)</f>
        <v>0</v>
      </c>
    </row>
    <row r="42" spans="1:14" ht="18.2" customHeight="1" x14ac:dyDescent="0.15">
      <c r="H42" s="30"/>
      <c r="I42" s="21"/>
      <c r="J42" s="673" t="s">
        <v>27</v>
      </c>
      <c r="K42" s="674"/>
      <c r="L42" s="26">
        <v>0</v>
      </c>
      <c r="M42" s="22">
        <f>세출내역!F445</f>
        <v>0</v>
      </c>
      <c r="N42" s="22">
        <f t="shared" ref="N42" si="21">SUM(M42-L42)</f>
        <v>0</v>
      </c>
    </row>
    <row r="43" spans="1:14" ht="18" customHeight="1" x14ac:dyDescent="0.15">
      <c r="H43" s="681" t="s">
        <v>28</v>
      </c>
      <c r="I43" s="682"/>
      <c r="J43" s="682"/>
      <c r="K43" s="683"/>
      <c r="L43" s="32">
        <v>60809</v>
      </c>
      <c r="M43" s="32">
        <f t="shared" ref="M43:M44" si="22">SUM(M44)</f>
        <v>73020.759000000005</v>
      </c>
      <c r="N43" s="32">
        <f t="shared" ref="N43:N53" si="23">SUM(M43-L43)</f>
        <v>12211.759000000005</v>
      </c>
    </row>
    <row r="44" spans="1:14" ht="18" customHeight="1" x14ac:dyDescent="0.15">
      <c r="H44" s="5"/>
      <c r="I44" s="681" t="s">
        <v>29</v>
      </c>
      <c r="J44" s="682"/>
      <c r="K44" s="683"/>
      <c r="L44" s="32">
        <v>60809</v>
      </c>
      <c r="M44" s="32">
        <f t="shared" si="22"/>
        <v>73020.759000000005</v>
      </c>
      <c r="N44" s="32">
        <f t="shared" si="23"/>
        <v>12211.759000000005</v>
      </c>
    </row>
    <row r="45" spans="1:14" ht="18" customHeight="1" x14ac:dyDescent="0.15">
      <c r="H45" s="13"/>
      <c r="I45" s="13"/>
      <c r="J45" s="673" t="s">
        <v>30</v>
      </c>
      <c r="K45" s="674"/>
      <c r="L45" s="18">
        <v>60809</v>
      </c>
      <c r="M45" s="14">
        <f>세출내역!F450</f>
        <v>73020.759000000005</v>
      </c>
      <c r="N45" s="26">
        <f>M45-L45</f>
        <v>12211.759000000005</v>
      </c>
    </row>
    <row r="46" spans="1:14" ht="18" customHeight="1" x14ac:dyDescent="0.15">
      <c r="H46" s="681" t="s">
        <v>71</v>
      </c>
      <c r="I46" s="682"/>
      <c r="J46" s="682"/>
      <c r="K46" s="683"/>
      <c r="L46" s="32">
        <v>53000</v>
      </c>
      <c r="M46" s="32">
        <f t="shared" ref="M46" si="24">SUM(M47)</f>
        <v>68603</v>
      </c>
      <c r="N46" s="32">
        <f t="shared" si="23"/>
        <v>15603</v>
      </c>
    </row>
    <row r="47" spans="1:14" ht="18" customHeight="1" x14ac:dyDescent="0.15">
      <c r="H47" s="5"/>
      <c r="I47" s="681" t="s">
        <v>72</v>
      </c>
      <c r="J47" s="682"/>
      <c r="K47" s="683"/>
      <c r="L47" s="32">
        <v>53000</v>
      </c>
      <c r="M47" s="32">
        <f>SUM(M48:M50)</f>
        <v>68603</v>
      </c>
      <c r="N47" s="32">
        <f>SUM(N48:N50)</f>
        <v>15603</v>
      </c>
    </row>
    <row r="48" spans="1:14" ht="18" customHeight="1" x14ac:dyDescent="0.15">
      <c r="H48" s="5"/>
      <c r="I48" s="5" t="s">
        <v>15</v>
      </c>
      <c r="J48" s="673" t="s">
        <v>31</v>
      </c>
      <c r="K48" s="674"/>
      <c r="L48" s="22">
        <v>45000</v>
      </c>
      <c r="M48" s="22">
        <f>세출내역!F457</f>
        <v>66603</v>
      </c>
      <c r="N48" s="26">
        <f t="shared" ref="N48:N50" si="25">M48-L48</f>
        <v>21603</v>
      </c>
    </row>
    <row r="49" spans="8:14" ht="18" customHeight="1" x14ac:dyDescent="0.15">
      <c r="H49" s="5"/>
      <c r="I49" s="5"/>
      <c r="J49" s="673" t="s">
        <v>67</v>
      </c>
      <c r="K49" s="674"/>
      <c r="L49" s="22">
        <v>8000</v>
      </c>
      <c r="M49" s="22">
        <f>세출내역!F458</f>
        <v>2000</v>
      </c>
      <c r="N49" s="26">
        <f t="shared" ref="N49" si="26">M49-L49</f>
        <v>-6000</v>
      </c>
    </row>
    <row r="50" spans="8:14" ht="18" customHeight="1" x14ac:dyDescent="0.15">
      <c r="H50" s="5"/>
      <c r="I50" s="5" t="s">
        <v>15</v>
      </c>
      <c r="J50" s="673" t="s">
        <v>434</v>
      </c>
      <c r="K50" s="674"/>
      <c r="L50" s="22">
        <v>0</v>
      </c>
      <c r="M50" s="22">
        <f>세출내역!F459</f>
        <v>0</v>
      </c>
      <c r="N50" s="26">
        <f t="shared" si="25"/>
        <v>0</v>
      </c>
    </row>
    <row r="51" spans="8:14" ht="21" customHeight="1" x14ac:dyDescent="0.15">
      <c r="H51" s="681" t="s">
        <v>68</v>
      </c>
      <c r="I51" s="682"/>
      <c r="J51" s="682"/>
      <c r="K51" s="683"/>
      <c r="L51" s="32">
        <v>0</v>
      </c>
      <c r="M51" s="32">
        <f t="shared" ref="M51:M52" si="27">SUM(M52)</f>
        <v>0</v>
      </c>
      <c r="N51" s="32">
        <f t="shared" si="23"/>
        <v>0</v>
      </c>
    </row>
    <row r="52" spans="8:14" ht="18" customHeight="1" x14ac:dyDescent="0.15">
      <c r="H52" s="5"/>
      <c r="I52" s="681" t="s">
        <v>69</v>
      </c>
      <c r="J52" s="682"/>
      <c r="K52" s="683"/>
      <c r="L52" s="32">
        <v>0</v>
      </c>
      <c r="M52" s="32">
        <f t="shared" si="27"/>
        <v>0</v>
      </c>
      <c r="N52" s="32">
        <f t="shared" si="23"/>
        <v>0</v>
      </c>
    </row>
    <row r="53" spans="8:14" ht="18" customHeight="1" x14ac:dyDescent="0.15">
      <c r="H53" s="13"/>
      <c r="I53" s="13" t="s">
        <v>15</v>
      </c>
      <c r="J53" s="673" t="s">
        <v>70</v>
      </c>
      <c r="K53" s="674"/>
      <c r="L53" s="26">
        <v>0</v>
      </c>
      <c r="M53" s="22">
        <f>세출내역!F462</f>
        <v>0</v>
      </c>
      <c r="N53" s="22">
        <f t="shared" si="23"/>
        <v>0</v>
      </c>
    </row>
    <row r="54" spans="8:14" ht="15" customHeight="1" x14ac:dyDescent="0.15"/>
    <row r="55" spans="8:14" ht="15" customHeight="1" x14ac:dyDescent="0.15"/>
  </sheetData>
  <mergeCells count="93">
    <mergeCell ref="J49:K49"/>
    <mergeCell ref="J38:K38"/>
    <mergeCell ref="B24:D24"/>
    <mergeCell ref="C25:D25"/>
    <mergeCell ref="A27:D27"/>
    <mergeCell ref="B28:D28"/>
    <mergeCell ref="C29:D29"/>
    <mergeCell ref="A30:D30"/>
    <mergeCell ref="B31:D31"/>
    <mergeCell ref="C32:D32"/>
    <mergeCell ref="H25:K25"/>
    <mergeCell ref="J24:K24"/>
    <mergeCell ref="H40:K40"/>
    <mergeCell ref="I41:K41"/>
    <mergeCell ref="J39:K39"/>
    <mergeCell ref="J37:K37"/>
    <mergeCell ref="A1:N1"/>
    <mergeCell ref="A4:D4"/>
    <mergeCell ref="H4:K4"/>
    <mergeCell ref="L4:N4"/>
    <mergeCell ref="A2:N2"/>
    <mergeCell ref="A7:D7"/>
    <mergeCell ref="A8:D8"/>
    <mergeCell ref="A13:D13"/>
    <mergeCell ref="N5:N6"/>
    <mergeCell ref="H7:K7"/>
    <mergeCell ref="H8:K8"/>
    <mergeCell ref="I9:K9"/>
    <mergeCell ref="J10:K10"/>
    <mergeCell ref="L5:L6"/>
    <mergeCell ref="M5:M6"/>
    <mergeCell ref="H5:K5"/>
    <mergeCell ref="C12:D12"/>
    <mergeCell ref="B9:D9"/>
    <mergeCell ref="C10:D10"/>
    <mergeCell ref="C11:D11"/>
    <mergeCell ref="E5:E6"/>
    <mergeCell ref="G5:G6"/>
    <mergeCell ref="J14:K14"/>
    <mergeCell ref="J15:K15"/>
    <mergeCell ref="J12:K12"/>
    <mergeCell ref="J11:K11"/>
    <mergeCell ref="J13:K13"/>
    <mergeCell ref="I16:K16"/>
    <mergeCell ref="J17:K17"/>
    <mergeCell ref="J18:K18"/>
    <mergeCell ref="I19:K19"/>
    <mergeCell ref="J20:K20"/>
    <mergeCell ref="F5:F6"/>
    <mergeCell ref="A5:D5"/>
    <mergeCell ref="J53:K53"/>
    <mergeCell ref="H51:K51"/>
    <mergeCell ref="I52:K52"/>
    <mergeCell ref="C39:D39"/>
    <mergeCell ref="C40:D40"/>
    <mergeCell ref="C41:D41"/>
    <mergeCell ref="J50:K50"/>
    <mergeCell ref="J45:K45"/>
    <mergeCell ref="I44:K44"/>
    <mergeCell ref="H43:K43"/>
    <mergeCell ref="J48:K48"/>
    <mergeCell ref="I47:K47"/>
    <mergeCell ref="H46:K46"/>
    <mergeCell ref="J23:K23"/>
    <mergeCell ref="C19:D19"/>
    <mergeCell ref="A20:D20"/>
    <mergeCell ref="B21:D21"/>
    <mergeCell ref="C22:D22"/>
    <mergeCell ref="J34:K34"/>
    <mergeCell ref="C34:D34"/>
    <mergeCell ref="C33:D33"/>
    <mergeCell ref="J21:K21"/>
    <mergeCell ref="J36:K36"/>
    <mergeCell ref="I31:K31"/>
    <mergeCell ref="H30:K30"/>
    <mergeCell ref="J29:K29"/>
    <mergeCell ref="J32:K32"/>
    <mergeCell ref="C37:D37"/>
    <mergeCell ref="J22:K22"/>
    <mergeCell ref="C18:D18"/>
    <mergeCell ref="J42:K42"/>
    <mergeCell ref="B14:D14"/>
    <mergeCell ref="C15:D15"/>
    <mergeCell ref="A16:D16"/>
    <mergeCell ref="B17:D17"/>
    <mergeCell ref="J35:K35"/>
    <mergeCell ref="J33:K33"/>
    <mergeCell ref="A23:D23"/>
    <mergeCell ref="C26:D26"/>
    <mergeCell ref="C35:D35"/>
    <mergeCell ref="I26:K26"/>
    <mergeCell ref="J27:K27"/>
    <mergeCell ref="J28:K28"/>
  </mergeCells>
  <phoneticPr fontId="2" type="noConversion"/>
  <pageMargins left="0.43307086614173229" right="0.43307086614173229" top="0.82677165354330717" bottom="0.70866141732283472" header="0.82677165354330717" footer="0.47244094488188981"/>
  <pageSetup paperSize="9" scale="98" firstPageNumber="3" fitToHeight="0" orientation="portrait" r:id="rId1"/>
  <headerFooter>
    <oddFooter>&amp;L사회복지법인 밀알복지재단&amp;C&amp;P/&amp;N&amp;R&amp;"+,굵게"&amp;12&amp;K0070C0Goodwill Store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7"/>
  <sheetViews>
    <sheetView tabSelected="1" topLeftCell="D1" zoomScale="130" zoomScaleNormal="130" workbookViewId="0">
      <pane ySplit="6" topLeftCell="A69" activePane="bottomLeft" state="frozen"/>
      <selection activeCell="K19" sqref="K19"/>
      <selection pane="bottomLeft" activeCell="K19" sqref="K19"/>
    </sheetView>
  </sheetViews>
  <sheetFormatPr defaultRowHeight="12" x14ac:dyDescent="0.15"/>
  <cols>
    <col min="1" max="3" width="0.88671875" style="1" customWidth="1"/>
    <col min="4" max="4" width="13.44140625" style="1" customWidth="1"/>
    <col min="5" max="5" width="7.33203125" style="23" customWidth="1"/>
    <col min="6" max="6" width="7.6640625" style="23" customWidth="1"/>
    <col min="7" max="7" width="7.33203125" style="23" customWidth="1"/>
    <col min="8" max="8" width="16.109375" style="125" customWidth="1"/>
    <col min="9" max="9" width="8.44140625" style="23" customWidth="1"/>
    <col min="10" max="10" width="2.109375" style="78" customWidth="1"/>
    <col min="11" max="11" width="1.88671875" style="28" customWidth="1"/>
    <col min="12" max="12" width="2.21875" style="78" customWidth="1"/>
    <col min="13" max="13" width="1.77734375" style="79" customWidth="1"/>
    <col min="14" max="14" width="1.6640625" style="78" customWidth="1"/>
    <col min="15" max="15" width="8.44140625" style="23" customWidth="1"/>
    <col min="16" max="16" width="46.88671875" style="433" customWidth="1"/>
    <col min="17" max="19" width="10.5546875" style="433" bestFit="1" customWidth="1"/>
    <col min="20" max="20" width="17" style="433" customWidth="1"/>
    <col min="21" max="21" width="15.44140625" style="433" bestFit="1" customWidth="1"/>
    <col min="22" max="22" width="13.6640625" style="433" bestFit="1" customWidth="1"/>
    <col min="23" max="16384" width="8.88671875" style="1"/>
  </cols>
  <sheetData>
    <row r="1" spans="1:23" ht="24.95" customHeight="1" x14ac:dyDescent="0.15">
      <c r="A1" s="701" t="s">
        <v>193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</row>
    <row r="2" spans="1:23" ht="13.5" customHeight="1" x14ac:dyDescent="0.15">
      <c r="A2" s="706" t="s">
        <v>570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23" ht="15.95" customHeight="1" x14ac:dyDescent="0.15">
      <c r="A3" s="736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5" t="s">
        <v>192</v>
      </c>
      <c r="O3" s="735"/>
    </row>
    <row r="4" spans="1:23" ht="16.5" customHeight="1" x14ac:dyDescent="0.15">
      <c r="A4" s="686" t="s">
        <v>64</v>
      </c>
      <c r="B4" s="687"/>
      <c r="C4" s="687"/>
      <c r="D4" s="688"/>
      <c r="E4" s="684" t="s">
        <v>562</v>
      </c>
      <c r="F4" s="684" t="s">
        <v>561</v>
      </c>
      <c r="G4" s="737" t="s">
        <v>0</v>
      </c>
      <c r="H4" s="739" t="s">
        <v>76</v>
      </c>
      <c r="I4" s="740"/>
      <c r="J4" s="740"/>
      <c r="K4" s="740"/>
      <c r="L4" s="740"/>
      <c r="M4" s="740"/>
      <c r="N4" s="740"/>
      <c r="O4" s="741"/>
      <c r="Q4" s="460">
        <v>446558721.63571399</v>
      </c>
      <c r="R4" s="460">
        <v>527397569.02987301</v>
      </c>
      <c r="S4" s="460">
        <v>483131126.769328</v>
      </c>
      <c r="T4" s="460">
        <v>468405961.33077699</v>
      </c>
      <c r="U4" s="460">
        <f>SUM(Q4:T4)</f>
        <v>1925493378.765692</v>
      </c>
    </row>
    <row r="5" spans="1:23" ht="19.5" customHeight="1" x14ac:dyDescent="0.15">
      <c r="A5" s="2"/>
      <c r="B5" s="2"/>
      <c r="C5" s="2"/>
      <c r="D5" s="3" t="s">
        <v>65</v>
      </c>
      <c r="E5" s="685"/>
      <c r="F5" s="685"/>
      <c r="G5" s="738"/>
      <c r="H5" s="742"/>
      <c r="I5" s="743"/>
      <c r="J5" s="743"/>
      <c r="K5" s="743"/>
      <c r="L5" s="743"/>
      <c r="M5" s="743"/>
      <c r="N5" s="743"/>
      <c r="O5" s="744"/>
    </row>
    <row r="6" spans="1:23" ht="14.25" customHeight="1" x14ac:dyDescent="0.15">
      <c r="A6" s="686" t="s">
        <v>24</v>
      </c>
      <c r="B6" s="687"/>
      <c r="C6" s="687"/>
      <c r="D6" s="688"/>
      <c r="E6" s="110">
        <v>4690987</v>
      </c>
      <c r="F6" s="110">
        <f>SUM(F7,F17,F24,F38,F45,F55,F66)</f>
        <v>4124175.5929999999</v>
      </c>
      <c r="G6" s="110">
        <f>SUM(F6-E6)</f>
        <v>-566811.40700000012</v>
      </c>
      <c r="H6" s="47"/>
      <c r="I6" s="48"/>
      <c r="J6" s="48"/>
      <c r="K6" s="48"/>
      <c r="L6" s="48"/>
      <c r="M6" s="48"/>
      <c r="N6" s="48"/>
      <c r="O6" s="49"/>
      <c r="Q6" s="433" t="s">
        <v>549</v>
      </c>
      <c r="R6" s="433" t="s">
        <v>550</v>
      </c>
      <c r="S6" s="433" t="s">
        <v>551</v>
      </c>
      <c r="T6" s="433" t="s">
        <v>552</v>
      </c>
      <c r="U6" s="459" t="s">
        <v>548</v>
      </c>
      <c r="V6" s="433" t="s">
        <v>553</v>
      </c>
    </row>
    <row r="7" spans="1:23" s="4" customFormat="1" ht="15.6" customHeight="1" x14ac:dyDescent="0.15">
      <c r="A7" s="717" t="s">
        <v>13</v>
      </c>
      <c r="B7" s="729"/>
      <c r="C7" s="729"/>
      <c r="D7" s="718"/>
      <c r="E7" s="110">
        <v>2431874</v>
      </c>
      <c r="F7" s="110">
        <f>F8</f>
        <v>1939970</v>
      </c>
      <c r="G7" s="110">
        <f>SUM(F7-E7)</f>
        <v>-491904</v>
      </c>
      <c r="H7" s="50"/>
      <c r="I7" s="51"/>
      <c r="J7" s="52"/>
      <c r="K7" s="53"/>
      <c r="L7" s="52"/>
      <c r="M7" s="51"/>
      <c r="N7" s="52"/>
      <c r="O7" s="54"/>
      <c r="P7" s="434"/>
      <c r="Q7" s="435">
        <v>446558721.63571399</v>
      </c>
      <c r="R7" s="435">
        <v>527397569.02987301</v>
      </c>
      <c r="S7" s="435">
        <v>483131126.769328</v>
      </c>
      <c r="T7" s="436">
        <v>468405961.33077699</v>
      </c>
      <c r="U7" s="437">
        <f>SUM(Q7:T7)</f>
        <v>1925493378.765692</v>
      </c>
      <c r="V7" s="441">
        <f>U7+(U7*10%)</f>
        <v>2118042716.6422613</v>
      </c>
    </row>
    <row r="8" spans="1:23" s="6" customFormat="1" ht="15.6" customHeight="1" x14ac:dyDescent="0.15">
      <c r="A8" s="5"/>
      <c r="B8" s="717" t="s">
        <v>14</v>
      </c>
      <c r="C8" s="729"/>
      <c r="D8" s="718"/>
      <c r="E8" s="110">
        <v>2431874</v>
      </c>
      <c r="F8" s="110">
        <f>SUM(F9:F12,F13,F14)</f>
        <v>1939970</v>
      </c>
      <c r="G8" s="110">
        <f>SUM(F8-E8)</f>
        <v>-491904</v>
      </c>
      <c r="H8" s="92" t="s">
        <v>214</v>
      </c>
      <c r="I8" s="51"/>
      <c r="J8" s="52"/>
      <c r="K8" s="53"/>
      <c r="L8" s="52"/>
      <c r="M8" s="51"/>
      <c r="N8" s="52"/>
      <c r="O8" s="91">
        <f>SUM(O9,O13:O14)</f>
        <v>1939970000</v>
      </c>
      <c r="P8" s="438"/>
      <c r="Q8" s="439">
        <v>0.7</v>
      </c>
      <c r="R8" s="439">
        <v>0.6</v>
      </c>
      <c r="S8" s="439">
        <v>1</v>
      </c>
      <c r="T8" s="439">
        <v>1</v>
      </c>
      <c r="U8" s="438"/>
      <c r="V8" s="441"/>
    </row>
    <row r="9" spans="1:23" s="8" customFormat="1" ht="13.5" customHeight="1" x14ac:dyDescent="0.15">
      <c r="A9" s="5"/>
      <c r="B9" s="5"/>
      <c r="C9" s="699" t="s">
        <v>23</v>
      </c>
      <c r="D9" s="700"/>
      <c r="E9" s="111">
        <v>2118043</v>
      </c>
      <c r="F9" s="111">
        <f>O9/1000</f>
        <v>1872000</v>
      </c>
      <c r="G9" s="111">
        <f t="shared" ref="G9:G72" si="0">SUM(F9-E9)</f>
        <v>-246043</v>
      </c>
      <c r="H9" s="92" t="s">
        <v>77</v>
      </c>
      <c r="I9" s="88"/>
      <c r="J9" s="93"/>
      <c r="K9" s="94"/>
      <c r="L9" s="93"/>
      <c r="M9" s="95"/>
      <c r="N9" s="93"/>
      <c r="O9" s="89">
        <f>SUM(O10:O12)</f>
        <v>1872000000</v>
      </c>
      <c r="P9" s="440"/>
      <c r="Q9" s="441">
        <v>327394981.81800002</v>
      </c>
      <c r="R9" s="441">
        <f>R7*60%</f>
        <v>316438541.41792381</v>
      </c>
      <c r="S9" s="441">
        <f>S7*100%</f>
        <v>483131126.769328</v>
      </c>
      <c r="T9" s="441">
        <f>T7*100%</f>
        <v>468405961.33077699</v>
      </c>
      <c r="U9" s="442">
        <f>SUM(Q9:T9)</f>
        <v>1595370611.3360288</v>
      </c>
      <c r="V9" s="441">
        <f>U9+(U9*10%)</f>
        <v>1754907672.4696317</v>
      </c>
      <c r="W9" s="432">
        <f>V7-V9</f>
        <v>363135044.17262959</v>
      </c>
    </row>
    <row r="10" spans="1:23" s="303" customFormat="1" ht="13.5" customHeight="1" x14ac:dyDescent="0.15">
      <c r="A10" s="401"/>
      <c r="B10" s="401"/>
      <c r="C10" s="402"/>
      <c r="D10" s="403" t="s">
        <v>470</v>
      </c>
      <c r="E10" s="220">
        <v>176000</v>
      </c>
      <c r="F10" s="220">
        <v>0</v>
      </c>
      <c r="G10" s="220">
        <f t="shared" si="0"/>
        <v>-176000</v>
      </c>
      <c r="H10" s="404" t="s">
        <v>403</v>
      </c>
      <c r="I10" s="145">
        <v>156000000</v>
      </c>
      <c r="J10" s="137" t="s">
        <v>78</v>
      </c>
      <c r="K10" s="225" t="s">
        <v>79</v>
      </c>
      <c r="L10" s="139">
        <v>12</v>
      </c>
      <c r="M10" s="137" t="s">
        <v>80</v>
      </c>
      <c r="N10" s="139" t="s">
        <v>81</v>
      </c>
      <c r="O10" s="136">
        <f t="shared" ref="O10:O13" si="1">SUM(I10*L10)</f>
        <v>1872000000</v>
      </c>
      <c r="P10" s="443"/>
      <c r="Q10" s="443"/>
      <c r="R10" s="443"/>
      <c r="S10" s="443"/>
      <c r="T10" s="443"/>
      <c r="U10" s="446" t="s">
        <v>555</v>
      </c>
      <c r="V10" s="441"/>
    </row>
    <row r="11" spans="1:23" s="8" customFormat="1" ht="13.5" customHeight="1" thickBot="1" x14ac:dyDescent="0.2">
      <c r="A11" s="5"/>
      <c r="B11" s="5"/>
      <c r="C11" s="29"/>
      <c r="D11" s="221"/>
      <c r="E11" s="112"/>
      <c r="F11" s="112"/>
      <c r="G11" s="112"/>
      <c r="H11" s="55" t="s">
        <v>473</v>
      </c>
      <c r="I11" s="56"/>
      <c r="J11" s="59" t="s">
        <v>78</v>
      </c>
      <c r="K11" s="57" t="s">
        <v>79</v>
      </c>
      <c r="L11" s="60">
        <v>12</v>
      </c>
      <c r="M11" s="59" t="s">
        <v>80</v>
      </c>
      <c r="N11" s="60" t="s">
        <v>81</v>
      </c>
      <c r="O11" s="119">
        <f t="shared" ref="O11" si="2">SUM(I11*L11)</f>
        <v>0</v>
      </c>
      <c r="P11" s="440"/>
      <c r="Q11" s="440"/>
      <c r="R11" s="440"/>
      <c r="S11" s="440"/>
      <c r="T11" s="440"/>
      <c r="U11" s="440"/>
      <c r="V11" s="429"/>
    </row>
    <row r="12" spans="1:23" s="8" customFormat="1" ht="13.5" customHeight="1" x14ac:dyDescent="0.15">
      <c r="A12" s="5"/>
      <c r="B12" s="5"/>
      <c r="C12" s="29"/>
      <c r="D12" s="9"/>
      <c r="E12" s="112"/>
      <c r="F12" s="112"/>
      <c r="G12" s="112"/>
      <c r="H12" s="55" t="s">
        <v>404</v>
      </c>
      <c r="I12" s="56"/>
      <c r="J12" s="59" t="s">
        <v>78</v>
      </c>
      <c r="K12" s="57" t="s">
        <v>79</v>
      </c>
      <c r="L12" s="58">
        <v>12</v>
      </c>
      <c r="M12" s="59" t="s">
        <v>80</v>
      </c>
      <c r="N12" s="60" t="s">
        <v>81</v>
      </c>
      <c r="O12" s="119">
        <f>SUM(I12*L12)</f>
        <v>0</v>
      </c>
      <c r="P12" s="440"/>
      <c r="Q12" s="440"/>
      <c r="R12" s="440"/>
      <c r="S12" s="461" t="s">
        <v>557</v>
      </c>
      <c r="T12" s="462" t="s">
        <v>554</v>
      </c>
      <c r="U12" s="463">
        <v>1595370611</v>
      </c>
      <c r="V12" s="464">
        <f>U12+(U12*10%)</f>
        <v>1754907672.0999999</v>
      </c>
    </row>
    <row r="13" spans="1:23" s="8" customFormat="1" ht="21" customHeight="1" thickBot="1" x14ac:dyDescent="0.2">
      <c r="A13" s="5"/>
      <c r="B13" s="5"/>
      <c r="C13" s="707" t="s">
        <v>32</v>
      </c>
      <c r="D13" s="708"/>
      <c r="E13" s="219">
        <v>64581</v>
      </c>
      <c r="F13" s="219">
        <f>O13/1000</f>
        <v>22800</v>
      </c>
      <c r="G13" s="219">
        <f t="shared" si="0"/>
        <v>-41781</v>
      </c>
      <c r="H13" s="516" t="s">
        <v>387</v>
      </c>
      <c r="I13" s="192">
        <v>1900000</v>
      </c>
      <c r="J13" s="332" t="s">
        <v>78</v>
      </c>
      <c r="K13" s="451" t="s">
        <v>79</v>
      </c>
      <c r="L13" s="452">
        <v>12</v>
      </c>
      <c r="M13" s="332" t="s">
        <v>80</v>
      </c>
      <c r="N13" s="334" t="s">
        <v>81</v>
      </c>
      <c r="O13" s="196">
        <f t="shared" si="1"/>
        <v>22800000</v>
      </c>
      <c r="P13" s="440"/>
      <c r="Q13" s="440"/>
      <c r="R13" s="440"/>
      <c r="S13" s="465"/>
      <c r="T13" s="466" t="s">
        <v>556</v>
      </c>
      <c r="U13" s="467">
        <f>U4-U9</f>
        <v>330122767.42966318</v>
      </c>
      <c r="V13" s="468">
        <f>V7-V12</f>
        <v>363135044.54226136</v>
      </c>
    </row>
    <row r="14" spans="1:23" s="8" customFormat="1" ht="15.6" customHeight="1" thickBot="1" x14ac:dyDescent="0.2">
      <c r="A14" s="29"/>
      <c r="B14" s="5"/>
      <c r="C14" s="730" t="s">
        <v>147</v>
      </c>
      <c r="D14" s="731"/>
      <c r="E14" s="114">
        <v>73250</v>
      </c>
      <c r="F14" s="114">
        <f>SUM(F15:F16)</f>
        <v>45170</v>
      </c>
      <c r="G14" s="114">
        <f t="shared" si="0"/>
        <v>-28080</v>
      </c>
      <c r="H14" s="96" t="s">
        <v>149</v>
      </c>
      <c r="I14" s="90"/>
      <c r="J14" s="97"/>
      <c r="K14" s="98"/>
      <c r="L14" s="99"/>
      <c r="M14" s="97"/>
      <c r="N14" s="100"/>
      <c r="O14" s="91">
        <f>SUM(O15:O16)</f>
        <v>45170000</v>
      </c>
      <c r="P14" s="440"/>
      <c r="Q14" s="440"/>
      <c r="R14" s="440"/>
      <c r="S14" s="440"/>
      <c r="T14" s="440"/>
      <c r="U14" s="440"/>
      <c r="V14" s="440"/>
    </row>
    <row r="15" spans="1:23" s="8" customFormat="1" ht="15.6" customHeight="1" x14ac:dyDescent="0.15">
      <c r="A15" s="5"/>
      <c r="B15" s="5"/>
      <c r="C15" s="80"/>
      <c r="D15" s="449" t="s">
        <v>148</v>
      </c>
      <c r="E15" s="178">
        <v>72000</v>
      </c>
      <c r="F15" s="178">
        <f>O15/1000</f>
        <v>43920</v>
      </c>
      <c r="G15" s="178">
        <f t="shared" si="0"/>
        <v>-28080</v>
      </c>
      <c r="H15" s="450"/>
      <c r="I15" s="192">
        <v>3660000</v>
      </c>
      <c r="J15" s="332" t="s">
        <v>78</v>
      </c>
      <c r="K15" s="451" t="s">
        <v>79</v>
      </c>
      <c r="L15" s="452">
        <v>12</v>
      </c>
      <c r="M15" s="332" t="s">
        <v>80</v>
      </c>
      <c r="N15" s="334" t="s">
        <v>81</v>
      </c>
      <c r="O15" s="196">
        <f t="shared" ref="O15:O16" si="3">SUM(I15*L15)</f>
        <v>43920000</v>
      </c>
      <c r="P15" s="440"/>
      <c r="Q15" s="440"/>
      <c r="R15" s="440"/>
      <c r="S15" s="469"/>
      <c r="T15" s="470" t="s">
        <v>558</v>
      </c>
      <c r="U15" s="471">
        <v>65454545.545450002</v>
      </c>
      <c r="V15" s="472">
        <f>U15+(U15*10%)</f>
        <v>72000000.099995002</v>
      </c>
    </row>
    <row r="16" spans="1:23" s="303" customFormat="1" ht="15.6" customHeight="1" x14ac:dyDescent="0.15">
      <c r="A16" s="447"/>
      <c r="B16" s="447"/>
      <c r="C16" s="448"/>
      <c r="D16" s="449" t="s">
        <v>327</v>
      </c>
      <c r="E16" s="178">
        <v>1250</v>
      </c>
      <c r="F16" s="178">
        <f>O16/1000</f>
        <v>1250</v>
      </c>
      <c r="G16" s="178">
        <f t="shared" si="0"/>
        <v>0</v>
      </c>
      <c r="H16" s="450"/>
      <c r="I16" s="192">
        <v>125000</v>
      </c>
      <c r="J16" s="332" t="s">
        <v>78</v>
      </c>
      <c r="K16" s="451" t="s">
        <v>79</v>
      </c>
      <c r="L16" s="452">
        <v>10</v>
      </c>
      <c r="M16" s="332" t="s">
        <v>80</v>
      </c>
      <c r="N16" s="334" t="s">
        <v>81</v>
      </c>
      <c r="O16" s="196">
        <f t="shared" si="3"/>
        <v>1250000</v>
      </c>
      <c r="P16" s="443"/>
      <c r="Q16" s="443"/>
      <c r="R16" s="443"/>
      <c r="S16" s="473"/>
      <c r="T16" s="474" t="s">
        <v>559</v>
      </c>
      <c r="U16" s="475">
        <f>U15-U24</f>
        <v>39272727.327270001</v>
      </c>
      <c r="V16" s="476">
        <f>U16+(U16*10%)</f>
        <v>43200000.059997</v>
      </c>
    </row>
    <row r="17" spans="1:22" s="292" customFormat="1" ht="15.6" hidden="1" customHeight="1" x14ac:dyDescent="0.15">
      <c r="A17" s="732" t="s">
        <v>35</v>
      </c>
      <c r="B17" s="733"/>
      <c r="C17" s="733"/>
      <c r="D17" s="734"/>
      <c r="E17" s="453">
        <v>0</v>
      </c>
      <c r="F17" s="453">
        <f>F18</f>
        <v>0</v>
      </c>
      <c r="G17" s="453">
        <f t="shared" si="0"/>
        <v>0</v>
      </c>
      <c r="H17" s="450"/>
      <c r="I17" s="192"/>
      <c r="J17" s="195"/>
      <c r="K17" s="194"/>
      <c r="L17" s="195"/>
      <c r="M17" s="192"/>
      <c r="N17" s="195"/>
      <c r="O17" s="196"/>
      <c r="P17" s="454"/>
      <c r="Q17" s="454"/>
      <c r="R17" s="454"/>
      <c r="S17" s="477"/>
      <c r="T17" s="478"/>
      <c r="U17" s="478"/>
      <c r="V17" s="479"/>
    </row>
    <row r="18" spans="1:22" s="294" customFormat="1" ht="15.6" hidden="1" customHeight="1" x14ac:dyDescent="0.15">
      <c r="A18" s="401"/>
      <c r="B18" s="732" t="s">
        <v>36</v>
      </c>
      <c r="C18" s="733"/>
      <c r="D18" s="734"/>
      <c r="E18" s="453">
        <v>0</v>
      </c>
      <c r="F18" s="453">
        <f>SUM(F19)</f>
        <v>0</v>
      </c>
      <c r="G18" s="453">
        <f t="shared" si="0"/>
        <v>0</v>
      </c>
      <c r="H18" s="450"/>
      <c r="I18" s="192"/>
      <c r="J18" s="195"/>
      <c r="K18" s="194"/>
      <c r="L18" s="195"/>
      <c r="M18" s="192"/>
      <c r="N18" s="195"/>
      <c r="O18" s="196"/>
      <c r="P18" s="455"/>
      <c r="Q18" s="455"/>
      <c r="R18" s="455"/>
      <c r="S18" s="480"/>
      <c r="T18" s="481"/>
      <c r="U18" s="481"/>
      <c r="V18" s="482"/>
    </row>
    <row r="19" spans="1:22" s="303" customFormat="1" ht="13.5" hidden="1" customHeight="1" x14ac:dyDescent="0.15">
      <c r="A19" s="401"/>
      <c r="B19" s="401"/>
      <c r="C19" s="709" t="s">
        <v>37</v>
      </c>
      <c r="D19" s="710"/>
      <c r="E19" s="220">
        <v>0</v>
      </c>
      <c r="F19" s="220">
        <v>0</v>
      </c>
      <c r="G19" s="178">
        <f t="shared" si="0"/>
        <v>0</v>
      </c>
      <c r="H19" s="456"/>
      <c r="I19" s="205"/>
      <c r="J19" s="314"/>
      <c r="K19" s="457"/>
      <c r="L19" s="316"/>
      <c r="M19" s="314"/>
      <c r="N19" s="316"/>
      <c r="O19" s="209">
        <f>SUM(O20)</f>
        <v>0</v>
      </c>
      <c r="P19" s="443"/>
      <c r="Q19" s="443"/>
      <c r="R19" s="443"/>
      <c r="S19" s="483"/>
      <c r="T19" s="484"/>
      <c r="U19" s="484"/>
      <c r="V19" s="485"/>
    </row>
    <row r="20" spans="1:22" s="303" customFormat="1" ht="13.5" hidden="1" customHeight="1" x14ac:dyDescent="0.15">
      <c r="A20" s="401"/>
      <c r="B20" s="401"/>
      <c r="C20" s="402"/>
      <c r="D20" s="458"/>
      <c r="E20" s="220"/>
      <c r="F20" s="220"/>
      <c r="G20" s="220">
        <f t="shared" si="0"/>
        <v>0</v>
      </c>
      <c r="H20" s="431"/>
      <c r="I20" s="145"/>
      <c r="J20" s="137"/>
      <c r="K20" s="225"/>
      <c r="L20" s="139"/>
      <c r="M20" s="137"/>
      <c r="N20" s="139"/>
      <c r="O20" s="136"/>
      <c r="P20" s="443"/>
      <c r="Q20" s="443"/>
      <c r="R20" s="443"/>
      <c r="S20" s="483"/>
      <c r="T20" s="484"/>
      <c r="U20" s="484"/>
      <c r="V20" s="485"/>
    </row>
    <row r="21" spans="1:22" s="303" customFormat="1" ht="13.5" hidden="1" customHeight="1" x14ac:dyDescent="0.15">
      <c r="A21" s="401"/>
      <c r="B21" s="401"/>
      <c r="C21" s="402"/>
      <c r="D21" s="458"/>
      <c r="E21" s="220"/>
      <c r="F21" s="220"/>
      <c r="G21" s="220">
        <f t="shared" si="0"/>
        <v>0</v>
      </c>
      <c r="H21" s="431"/>
      <c r="I21" s="145"/>
      <c r="J21" s="137"/>
      <c r="K21" s="225"/>
      <c r="L21" s="139"/>
      <c r="M21" s="137"/>
      <c r="N21" s="139"/>
      <c r="O21" s="136"/>
      <c r="P21" s="443"/>
      <c r="Q21" s="443"/>
      <c r="R21" s="443"/>
      <c r="S21" s="483"/>
      <c r="T21" s="484"/>
      <c r="U21" s="484"/>
      <c r="V21" s="485"/>
    </row>
    <row r="22" spans="1:22" s="303" customFormat="1" ht="13.5" hidden="1" customHeight="1" x14ac:dyDescent="0.15">
      <c r="A22" s="402"/>
      <c r="B22" s="401"/>
      <c r="C22" s="403"/>
      <c r="D22" s="458"/>
      <c r="E22" s="220"/>
      <c r="F22" s="220"/>
      <c r="G22" s="220">
        <f t="shared" si="0"/>
        <v>0</v>
      </c>
      <c r="H22" s="431"/>
      <c r="I22" s="145"/>
      <c r="J22" s="137"/>
      <c r="K22" s="225"/>
      <c r="L22" s="139"/>
      <c r="M22" s="137"/>
      <c r="N22" s="139"/>
      <c r="O22" s="136"/>
      <c r="P22" s="443"/>
      <c r="Q22" s="443"/>
      <c r="R22" s="443"/>
      <c r="S22" s="483"/>
      <c r="T22" s="484"/>
      <c r="U22" s="484"/>
      <c r="V22" s="485"/>
    </row>
    <row r="23" spans="1:22" s="303" customFormat="1" ht="13.5" hidden="1" customHeight="1" x14ac:dyDescent="0.15">
      <c r="A23" s="402"/>
      <c r="B23" s="401"/>
      <c r="C23" s="403"/>
      <c r="D23" s="458"/>
      <c r="E23" s="220"/>
      <c r="F23" s="220"/>
      <c r="G23" s="220">
        <f t="shared" si="0"/>
        <v>0</v>
      </c>
      <c r="H23" s="431"/>
      <c r="I23" s="145"/>
      <c r="J23" s="137"/>
      <c r="K23" s="225"/>
      <c r="L23" s="139"/>
      <c r="M23" s="137"/>
      <c r="N23" s="139"/>
      <c r="O23" s="136"/>
      <c r="P23" s="443"/>
      <c r="Q23" s="443"/>
      <c r="R23" s="443"/>
      <c r="S23" s="483"/>
      <c r="T23" s="484"/>
      <c r="U23" s="484"/>
      <c r="V23" s="485"/>
    </row>
    <row r="24" spans="1:22" s="292" customFormat="1" ht="15.6" customHeight="1" x14ac:dyDescent="0.15">
      <c r="A24" s="732" t="s">
        <v>363</v>
      </c>
      <c r="B24" s="733"/>
      <c r="C24" s="733"/>
      <c r="D24" s="734"/>
      <c r="E24" s="453">
        <v>903809</v>
      </c>
      <c r="F24" s="453">
        <f>F25</f>
        <v>838382</v>
      </c>
      <c r="G24" s="453">
        <f t="shared" si="0"/>
        <v>-65427</v>
      </c>
      <c r="H24" s="450"/>
      <c r="I24" s="192"/>
      <c r="J24" s="195"/>
      <c r="K24" s="194"/>
      <c r="L24" s="195"/>
      <c r="M24" s="192"/>
      <c r="N24" s="195"/>
      <c r="O24" s="196"/>
      <c r="P24" s="454"/>
      <c r="Q24" s="454"/>
      <c r="R24" s="454"/>
      <c r="S24" s="477"/>
      <c r="T24" s="491">
        <v>0.4</v>
      </c>
      <c r="U24" s="492">
        <f>U15*T24</f>
        <v>26181818.218180001</v>
      </c>
      <c r="V24" s="479"/>
    </row>
    <row r="25" spans="1:22" s="6" customFormat="1" ht="15.6" customHeight="1" thickBot="1" x14ac:dyDescent="0.2">
      <c r="A25" s="5"/>
      <c r="B25" s="717" t="s">
        <v>364</v>
      </c>
      <c r="C25" s="729"/>
      <c r="D25" s="718"/>
      <c r="E25" s="110">
        <v>903809</v>
      </c>
      <c r="F25" s="110">
        <f>SUM(F26,F34)</f>
        <v>838382</v>
      </c>
      <c r="G25" s="110">
        <f t="shared" si="0"/>
        <v>-65427</v>
      </c>
      <c r="H25" s="50"/>
      <c r="I25" s="51"/>
      <c r="J25" s="52"/>
      <c r="K25" s="53"/>
      <c r="L25" s="52"/>
      <c r="M25" s="51"/>
      <c r="N25" s="52"/>
      <c r="O25" s="54">
        <f>SUM(O26)</f>
        <v>769142000</v>
      </c>
      <c r="P25" s="438"/>
      <c r="Q25" s="438"/>
      <c r="R25" s="438"/>
      <c r="S25" s="489"/>
      <c r="T25" s="490" t="s">
        <v>556</v>
      </c>
      <c r="U25" s="493">
        <f>U15-U16</f>
        <v>26181818.218180001</v>
      </c>
      <c r="V25" s="494">
        <f>U25+(U25*10%)</f>
        <v>28800000.039998002</v>
      </c>
    </row>
    <row r="26" spans="1:22" s="8" customFormat="1" ht="15.6" customHeight="1" thickBot="1" x14ac:dyDescent="0.2">
      <c r="A26" s="5"/>
      <c r="B26" s="5"/>
      <c r="C26" s="727" t="s">
        <v>365</v>
      </c>
      <c r="D26" s="728"/>
      <c r="E26" s="115">
        <v>825809</v>
      </c>
      <c r="F26" s="652">
        <f>SUM(F27:F32)</f>
        <v>769142</v>
      </c>
      <c r="G26" s="110">
        <f t="shared" si="0"/>
        <v>-56667</v>
      </c>
      <c r="H26" s="50"/>
      <c r="I26" s="51"/>
      <c r="J26" s="69"/>
      <c r="K26" s="70"/>
      <c r="L26" s="69"/>
      <c r="M26" s="71"/>
      <c r="N26" s="69"/>
      <c r="O26" s="54">
        <f>SUM(O27:O28)</f>
        <v>769142000</v>
      </c>
      <c r="P26" s="440"/>
      <c r="Q26" s="440"/>
      <c r="R26" s="440"/>
    </row>
    <row r="27" spans="1:22" s="8" customFormat="1" ht="13.5" customHeight="1" x14ac:dyDescent="0.15">
      <c r="A27" s="5"/>
      <c r="B27" s="5"/>
      <c r="C27" s="5"/>
      <c r="D27" s="123" t="s">
        <v>366</v>
      </c>
      <c r="E27" s="116">
        <v>729861</v>
      </c>
      <c r="F27" s="178">
        <f>O27/1000</f>
        <v>667794</v>
      </c>
      <c r="G27" s="116">
        <f t="shared" si="0"/>
        <v>-62067</v>
      </c>
      <c r="H27" s="50" t="s">
        <v>83</v>
      </c>
      <c r="I27" s="51">
        <v>166948500</v>
      </c>
      <c r="J27" s="67" t="s">
        <v>78</v>
      </c>
      <c r="K27" s="68" t="s">
        <v>79</v>
      </c>
      <c r="L27" s="69">
        <v>4</v>
      </c>
      <c r="M27" s="67" t="s">
        <v>82</v>
      </c>
      <c r="N27" s="69" t="s">
        <v>81</v>
      </c>
      <c r="O27" s="54">
        <f>SUM(I27*L27)</f>
        <v>667794000</v>
      </c>
      <c r="P27" s="440"/>
      <c r="Q27" s="440"/>
      <c r="R27" s="440"/>
      <c r="S27" s="469"/>
      <c r="T27" s="470" t="s">
        <v>558</v>
      </c>
      <c r="U27" s="471">
        <v>58710000</v>
      </c>
      <c r="V27" s="496">
        <f>U27+(U27*10%)</f>
        <v>64581000</v>
      </c>
    </row>
    <row r="28" spans="1:22" s="8" customFormat="1" ht="13.5" customHeight="1" x14ac:dyDescent="0.15">
      <c r="A28" s="5"/>
      <c r="B28" s="5"/>
      <c r="C28" s="5"/>
      <c r="D28" s="9" t="s">
        <v>367</v>
      </c>
      <c r="E28" s="112">
        <v>95948</v>
      </c>
      <c r="F28" s="178">
        <f>O28/1000</f>
        <v>101348</v>
      </c>
      <c r="G28" s="112">
        <f t="shared" si="0"/>
        <v>5400</v>
      </c>
      <c r="H28" s="104" t="s">
        <v>84</v>
      </c>
      <c r="I28" s="86"/>
      <c r="J28" s="105"/>
      <c r="K28" s="106"/>
      <c r="L28" s="107"/>
      <c r="M28" s="105"/>
      <c r="N28" s="107"/>
      <c r="O28" s="87">
        <f>SUM(O29:O31)</f>
        <v>101348000</v>
      </c>
      <c r="P28" s="440"/>
      <c r="Q28" s="440"/>
      <c r="R28" s="440"/>
      <c r="S28" s="473"/>
      <c r="T28" s="474" t="s">
        <v>560</v>
      </c>
      <c r="U28" s="475">
        <f>U27-U29</f>
        <v>29355000</v>
      </c>
      <c r="V28" s="486">
        <f>U28+(U28*10%)</f>
        <v>32290500</v>
      </c>
    </row>
    <row r="29" spans="1:22" s="8" customFormat="1" ht="13.5" customHeight="1" thickBot="1" x14ac:dyDescent="0.2">
      <c r="A29" s="5"/>
      <c r="B29" s="5"/>
      <c r="C29" s="5"/>
      <c r="D29" s="29"/>
      <c r="E29" s="112"/>
      <c r="F29" s="112"/>
      <c r="G29" s="112">
        <f t="shared" si="0"/>
        <v>0</v>
      </c>
      <c r="H29" s="66" t="s">
        <v>85</v>
      </c>
      <c r="I29" s="56">
        <v>18487000</v>
      </c>
      <c r="J29" s="59" t="s">
        <v>78</v>
      </c>
      <c r="K29" s="57" t="s">
        <v>79</v>
      </c>
      <c r="L29" s="60">
        <v>4</v>
      </c>
      <c r="M29" s="59" t="s">
        <v>82</v>
      </c>
      <c r="N29" s="60" t="s">
        <v>81</v>
      </c>
      <c r="O29" s="119">
        <f>SUM(I29*L29)</f>
        <v>73948000</v>
      </c>
      <c r="P29" s="440"/>
      <c r="Q29" s="440"/>
      <c r="R29" s="440"/>
      <c r="S29" s="465"/>
      <c r="T29" s="487">
        <v>0.5</v>
      </c>
      <c r="U29" s="488">
        <f>U27*T29</f>
        <v>29355000</v>
      </c>
      <c r="V29" s="495">
        <f>U29+(U29*10%)</f>
        <v>32290500</v>
      </c>
    </row>
    <row r="30" spans="1:22" s="8" customFormat="1" ht="13.5" customHeight="1" x14ac:dyDescent="0.15">
      <c r="A30" s="5"/>
      <c r="B30" s="5"/>
      <c r="C30" s="5"/>
      <c r="D30" s="29"/>
      <c r="E30" s="112"/>
      <c r="F30" s="112"/>
      <c r="G30" s="112"/>
      <c r="H30" s="55" t="s">
        <v>86</v>
      </c>
      <c r="I30" s="539">
        <v>400000</v>
      </c>
      <c r="J30" s="540" t="s">
        <v>78</v>
      </c>
      <c r="K30" s="541" t="s">
        <v>79</v>
      </c>
      <c r="L30" s="542">
        <v>55</v>
      </c>
      <c r="M30" s="540" t="s">
        <v>87</v>
      </c>
      <c r="N30" s="542" t="s">
        <v>81</v>
      </c>
      <c r="O30" s="119">
        <f>SUM(I30*L30)</f>
        <v>22000000</v>
      </c>
      <c r="P30" s="440"/>
      <c r="Q30" s="440"/>
      <c r="R30" s="440"/>
      <c r="S30" s="535"/>
      <c r="T30" s="536"/>
      <c r="U30" s="537"/>
      <c r="V30" s="538"/>
    </row>
    <row r="31" spans="1:22" s="8" customFormat="1" ht="13.5" customHeight="1" x14ac:dyDescent="0.15">
      <c r="A31" s="5"/>
      <c r="B31" s="5"/>
      <c r="C31" s="5"/>
      <c r="D31" s="84"/>
      <c r="E31" s="113"/>
      <c r="F31" s="113"/>
      <c r="G31" s="113">
        <f t="shared" si="0"/>
        <v>0</v>
      </c>
      <c r="H31" s="72" t="s">
        <v>567</v>
      </c>
      <c r="I31" s="61">
        <v>100000</v>
      </c>
      <c r="J31" s="62" t="s">
        <v>78</v>
      </c>
      <c r="K31" s="63" t="s">
        <v>79</v>
      </c>
      <c r="L31" s="64">
        <v>54</v>
      </c>
      <c r="M31" s="62" t="s">
        <v>87</v>
      </c>
      <c r="N31" s="64" t="s">
        <v>81</v>
      </c>
      <c r="O31" s="65">
        <f>SUM(I31*L31)</f>
        <v>5400000</v>
      </c>
      <c r="P31" s="440"/>
      <c r="Q31" s="440"/>
      <c r="R31" s="440"/>
      <c r="S31" s="440"/>
      <c r="T31" s="440"/>
      <c r="U31" s="440"/>
      <c r="V31" s="440"/>
    </row>
    <row r="32" spans="1:22" s="8" customFormat="1" ht="13.5" customHeight="1" x14ac:dyDescent="0.15">
      <c r="A32" s="5"/>
      <c r="B32" s="5"/>
      <c r="C32" s="5"/>
      <c r="D32" s="224" t="s">
        <v>416</v>
      </c>
      <c r="E32" s="111">
        <v>0</v>
      </c>
      <c r="F32" s="111">
        <v>0</v>
      </c>
      <c r="G32" s="111">
        <f t="shared" ref="G32:G33" si="4">SUM(F32-E32)</f>
        <v>0</v>
      </c>
      <c r="H32" s="101" t="s">
        <v>417</v>
      </c>
      <c r="I32" s="88"/>
      <c r="J32" s="102"/>
      <c r="K32" s="103"/>
      <c r="L32" s="93"/>
      <c r="M32" s="102"/>
      <c r="N32" s="93"/>
      <c r="O32" s="89">
        <f>O33</f>
        <v>0</v>
      </c>
      <c r="P32" s="440"/>
      <c r="Q32" s="440"/>
      <c r="R32" s="440"/>
      <c r="S32" s="440"/>
      <c r="T32" s="440"/>
      <c r="U32" s="440"/>
      <c r="V32" s="440"/>
    </row>
    <row r="33" spans="1:22" s="8" customFormat="1" ht="13.5" customHeight="1" x14ac:dyDescent="0.15">
      <c r="A33" s="5"/>
      <c r="B33" s="5"/>
      <c r="C33" s="5"/>
      <c r="D33" s="29"/>
      <c r="E33" s="112"/>
      <c r="F33" s="112"/>
      <c r="G33" s="112">
        <f t="shared" si="4"/>
        <v>0</v>
      </c>
      <c r="H33" s="226" t="s">
        <v>418</v>
      </c>
      <c r="I33" s="145"/>
      <c r="J33" s="137" t="s">
        <v>78</v>
      </c>
      <c r="K33" s="225" t="s">
        <v>79</v>
      </c>
      <c r="L33" s="139">
        <v>1</v>
      </c>
      <c r="M33" s="137" t="s">
        <v>82</v>
      </c>
      <c r="N33" s="139" t="s">
        <v>81</v>
      </c>
      <c r="O33" s="136">
        <f>SUM(I33*L33)</f>
        <v>0</v>
      </c>
      <c r="P33" s="440"/>
      <c r="Q33" s="440"/>
      <c r="R33" s="440"/>
      <c r="S33" s="440"/>
      <c r="T33" s="440"/>
      <c r="U33" s="440"/>
      <c r="V33" s="440"/>
    </row>
    <row r="34" spans="1:22" s="8" customFormat="1" ht="15.6" customHeight="1" x14ac:dyDescent="0.15">
      <c r="A34" s="5"/>
      <c r="B34" s="5"/>
      <c r="C34" s="717" t="s">
        <v>368</v>
      </c>
      <c r="D34" s="718"/>
      <c r="E34" s="110">
        <v>78000</v>
      </c>
      <c r="F34" s="653">
        <f>SUM(F35:F35)</f>
        <v>69240</v>
      </c>
      <c r="G34" s="110">
        <f t="shared" ref="G34:G37" si="5">SUM(F34-E34)</f>
        <v>-8760</v>
      </c>
      <c r="H34" s="50"/>
      <c r="I34" s="51"/>
      <c r="J34" s="69"/>
      <c r="K34" s="70"/>
      <c r="L34" s="69"/>
      <c r="M34" s="71"/>
      <c r="N34" s="69"/>
      <c r="O34" s="54">
        <f>SUM(O35:O35)</f>
        <v>69240000</v>
      </c>
      <c r="P34" s="440"/>
      <c r="Q34" s="440"/>
      <c r="R34" s="440"/>
      <c r="S34" s="440"/>
      <c r="T34" s="440"/>
      <c r="U34" s="440"/>
      <c r="V34" s="440"/>
    </row>
    <row r="35" spans="1:22" s="383" customFormat="1" ht="13.5" customHeight="1" x14ac:dyDescent="0.15">
      <c r="A35" s="401"/>
      <c r="B35" s="401"/>
      <c r="C35" s="401"/>
      <c r="D35" s="403" t="s">
        <v>369</v>
      </c>
      <c r="E35" s="220">
        <v>78000</v>
      </c>
      <c r="F35" s="178">
        <f>O35/1000</f>
        <v>69240</v>
      </c>
      <c r="G35" s="220">
        <f t="shared" si="5"/>
        <v>-8760</v>
      </c>
      <c r="H35" s="615" t="s">
        <v>249</v>
      </c>
      <c r="I35" s="211"/>
      <c r="J35" s="218"/>
      <c r="K35" s="616"/>
      <c r="L35" s="318"/>
      <c r="M35" s="218"/>
      <c r="N35" s="318"/>
      <c r="O35" s="141">
        <f>SUM(O36:O37)</f>
        <v>69240000</v>
      </c>
      <c r="P35" s="443"/>
      <c r="Q35" s="443"/>
      <c r="R35" s="443"/>
      <c r="S35" s="444"/>
      <c r="T35" s="444"/>
      <c r="U35" s="444"/>
      <c r="V35" s="444"/>
    </row>
    <row r="36" spans="1:22" s="8" customFormat="1" ht="13.5" customHeight="1" x14ac:dyDescent="0.15">
      <c r="A36" s="401"/>
      <c r="B36" s="401"/>
      <c r="C36" s="401"/>
      <c r="D36" s="402"/>
      <c r="E36" s="220"/>
      <c r="F36" s="220"/>
      <c r="G36" s="220">
        <f t="shared" si="5"/>
        <v>0</v>
      </c>
      <c r="H36" s="617" t="s">
        <v>566</v>
      </c>
      <c r="I36" s="719">
        <v>5770000</v>
      </c>
      <c r="J36" s="719"/>
      <c r="K36" s="225" t="s">
        <v>79</v>
      </c>
      <c r="L36" s="139">
        <v>12</v>
      </c>
      <c r="M36" s="137" t="s">
        <v>82</v>
      </c>
      <c r="N36" s="139" t="s">
        <v>81</v>
      </c>
      <c r="O36" s="136">
        <f>I36*L36</f>
        <v>69240000</v>
      </c>
      <c r="P36" s="443" t="s">
        <v>328</v>
      </c>
      <c r="Q36" s="443"/>
      <c r="R36" s="443"/>
      <c r="S36" s="440"/>
      <c r="T36" s="440"/>
      <c r="U36" s="440"/>
      <c r="V36" s="440"/>
    </row>
    <row r="37" spans="1:22" s="8" customFormat="1" ht="13.5" customHeight="1" x14ac:dyDescent="0.15">
      <c r="A37" s="401"/>
      <c r="B37" s="401"/>
      <c r="C37" s="401"/>
      <c r="D37" s="618"/>
      <c r="E37" s="619"/>
      <c r="F37" s="619"/>
      <c r="G37" s="619">
        <f t="shared" si="5"/>
        <v>0</v>
      </c>
      <c r="H37" s="620"/>
      <c r="I37" s="719"/>
      <c r="J37" s="719"/>
      <c r="K37" s="621"/>
      <c r="L37" s="150"/>
      <c r="M37" s="148"/>
      <c r="N37" s="150"/>
      <c r="O37" s="142"/>
      <c r="P37" s="443"/>
      <c r="Q37" s="443"/>
      <c r="R37" s="443"/>
      <c r="S37" s="440"/>
      <c r="T37" s="440"/>
      <c r="U37" s="440"/>
      <c r="V37" s="440"/>
    </row>
    <row r="38" spans="1:22" s="4" customFormat="1" ht="15.6" customHeight="1" x14ac:dyDescent="0.15">
      <c r="A38" s="720" t="s">
        <v>370</v>
      </c>
      <c r="B38" s="721"/>
      <c r="C38" s="721"/>
      <c r="D38" s="722"/>
      <c r="E38" s="453">
        <v>16000</v>
      </c>
      <c r="F38" s="453">
        <f t="shared" ref="F38" si="6">SUM(F39)</f>
        <v>16000</v>
      </c>
      <c r="G38" s="453">
        <f t="shared" si="0"/>
        <v>0</v>
      </c>
      <c r="H38" s="450"/>
      <c r="I38" s="192"/>
      <c r="J38" s="195"/>
      <c r="K38" s="194"/>
      <c r="L38" s="195"/>
      <c r="M38" s="192"/>
      <c r="N38" s="195"/>
      <c r="O38" s="196"/>
      <c r="P38" s="454"/>
      <c r="Q38" s="454"/>
      <c r="R38" s="454"/>
      <c r="S38" s="434"/>
      <c r="T38" s="434"/>
      <c r="U38" s="434"/>
      <c r="V38" s="434"/>
    </row>
    <row r="39" spans="1:22" s="378" customFormat="1" ht="15.6" customHeight="1" x14ac:dyDescent="0.15">
      <c r="A39" s="401"/>
      <c r="B39" s="720" t="s">
        <v>371</v>
      </c>
      <c r="C39" s="721"/>
      <c r="D39" s="722"/>
      <c r="E39" s="453">
        <v>16000</v>
      </c>
      <c r="F39" s="453">
        <f>F40+F41</f>
        <v>16000</v>
      </c>
      <c r="G39" s="453">
        <f t="shared" si="0"/>
        <v>0</v>
      </c>
      <c r="H39" s="450"/>
      <c r="I39" s="192"/>
      <c r="J39" s="195"/>
      <c r="K39" s="194"/>
      <c r="L39" s="195"/>
      <c r="M39" s="192"/>
      <c r="N39" s="195"/>
      <c r="O39" s="196"/>
      <c r="P39" s="622" t="s">
        <v>466</v>
      </c>
      <c r="Q39" s="455"/>
      <c r="R39" s="455"/>
      <c r="S39" s="445"/>
      <c r="T39" s="445"/>
      <c r="U39" s="445"/>
      <c r="V39" s="445"/>
    </row>
    <row r="40" spans="1:22" s="378" customFormat="1" ht="15.6" customHeight="1" x14ac:dyDescent="0.15">
      <c r="A40" s="401"/>
      <c r="B40" s="623"/>
      <c r="C40" s="723" t="s">
        <v>372</v>
      </c>
      <c r="D40" s="724"/>
      <c r="E40" s="624">
        <v>3000</v>
      </c>
      <c r="F40" s="624">
        <v>0</v>
      </c>
      <c r="G40" s="624">
        <f t="shared" si="0"/>
        <v>-3000</v>
      </c>
      <c r="H40" s="625" t="s">
        <v>88</v>
      </c>
      <c r="I40" s="297"/>
      <c r="J40" s="626"/>
      <c r="K40" s="627"/>
      <c r="L40" s="626"/>
      <c r="M40" s="298"/>
      <c r="N40" s="626"/>
      <c r="O40" s="302">
        <v>0</v>
      </c>
      <c r="P40" s="455"/>
      <c r="Q40" s="455"/>
      <c r="R40" s="455"/>
      <c r="S40" s="445"/>
      <c r="T40" s="445"/>
      <c r="U40" s="445"/>
      <c r="V40" s="445"/>
    </row>
    <row r="41" spans="1:22" s="378" customFormat="1" ht="15.6" customHeight="1" x14ac:dyDescent="0.15">
      <c r="A41" s="402"/>
      <c r="B41" s="623"/>
      <c r="C41" s="723" t="s">
        <v>414</v>
      </c>
      <c r="D41" s="724"/>
      <c r="E41" s="624">
        <v>13000</v>
      </c>
      <c r="F41" s="178">
        <f>O41/1000</f>
        <v>16000</v>
      </c>
      <c r="G41" s="624">
        <f t="shared" si="0"/>
        <v>3000</v>
      </c>
      <c r="H41" s="625" t="s">
        <v>465</v>
      </c>
      <c r="I41" s="628"/>
      <c r="J41" s="628"/>
      <c r="K41" s="628"/>
      <c r="L41" s="628"/>
      <c r="M41" s="628"/>
      <c r="N41" s="628"/>
      <c r="O41" s="168">
        <f>SUM(O42:O44)</f>
        <v>16000000</v>
      </c>
      <c r="P41" s="455"/>
      <c r="Q41" s="455"/>
      <c r="R41" s="455"/>
      <c r="S41" s="445"/>
      <c r="T41" s="445"/>
      <c r="U41" s="445"/>
      <c r="V41" s="445"/>
    </row>
    <row r="42" spans="1:22" s="378" customFormat="1" ht="15.6" customHeight="1" x14ac:dyDescent="0.15">
      <c r="A42" s="402"/>
      <c r="B42" s="623"/>
      <c r="C42" s="725"/>
      <c r="D42" s="726"/>
      <c r="E42" s="517"/>
      <c r="F42" s="517"/>
      <c r="G42" s="517">
        <f t="shared" si="0"/>
        <v>0</v>
      </c>
      <c r="H42" s="522" t="s">
        <v>462</v>
      </c>
      <c r="I42" s="328">
        <v>250000</v>
      </c>
      <c r="J42" s="629" t="s">
        <v>78</v>
      </c>
      <c r="K42" s="630" t="s">
        <v>79</v>
      </c>
      <c r="L42" s="629">
        <v>12</v>
      </c>
      <c r="M42" s="631" t="s">
        <v>80</v>
      </c>
      <c r="N42" s="629" t="s">
        <v>81</v>
      </c>
      <c r="O42" s="158">
        <f>I42*L42</f>
        <v>3000000</v>
      </c>
      <c r="P42" s="455"/>
      <c r="Q42" s="455"/>
      <c r="R42" s="455"/>
      <c r="S42" s="445"/>
      <c r="T42" s="445"/>
      <c r="U42" s="445"/>
      <c r="V42" s="445"/>
    </row>
    <row r="43" spans="1:22" s="378" customFormat="1" ht="15" customHeight="1" x14ac:dyDescent="0.15">
      <c r="A43" s="402"/>
      <c r="B43" s="623"/>
      <c r="C43" s="632"/>
      <c r="D43" s="609"/>
      <c r="E43" s="517"/>
      <c r="F43" s="517"/>
      <c r="G43" s="517">
        <f t="shared" si="0"/>
        <v>0</v>
      </c>
      <c r="H43" s="520" t="s">
        <v>463</v>
      </c>
      <c r="I43" s="153">
        <v>5000000</v>
      </c>
      <c r="J43" s="633" t="s">
        <v>78</v>
      </c>
      <c r="K43" s="521" t="s">
        <v>79</v>
      </c>
      <c r="L43" s="633">
        <v>2</v>
      </c>
      <c r="M43" s="228" t="s">
        <v>82</v>
      </c>
      <c r="N43" s="633" t="s">
        <v>81</v>
      </c>
      <c r="O43" s="158">
        <f>I43*L43</f>
        <v>10000000</v>
      </c>
      <c r="P43" s="455"/>
      <c r="Q43" s="455"/>
      <c r="R43" s="455"/>
      <c r="S43" s="445"/>
      <c r="T43" s="445"/>
      <c r="U43" s="445"/>
      <c r="V43" s="445"/>
    </row>
    <row r="44" spans="1:22" s="378" customFormat="1" ht="15.6" customHeight="1" x14ac:dyDescent="0.15">
      <c r="A44" s="402"/>
      <c r="B44" s="623"/>
      <c r="C44" s="632"/>
      <c r="D44" s="611"/>
      <c r="E44" s="523"/>
      <c r="F44" s="523"/>
      <c r="G44" s="523">
        <f t="shared" si="0"/>
        <v>0</v>
      </c>
      <c r="H44" s="520" t="s">
        <v>464</v>
      </c>
      <c r="I44" s="153">
        <v>3000000</v>
      </c>
      <c r="J44" s="633" t="s">
        <v>78</v>
      </c>
      <c r="K44" s="521" t="s">
        <v>79</v>
      </c>
      <c r="L44" s="633">
        <v>1</v>
      </c>
      <c r="M44" s="228" t="s">
        <v>82</v>
      </c>
      <c r="N44" s="633" t="s">
        <v>81</v>
      </c>
      <c r="O44" s="158">
        <f>I44*L44</f>
        <v>3000000</v>
      </c>
      <c r="P44" s="455"/>
      <c r="Q44" s="455"/>
      <c r="R44" s="455"/>
      <c r="S44" s="445"/>
      <c r="T44" s="445"/>
      <c r="U44" s="445"/>
      <c r="V44" s="445"/>
    </row>
    <row r="45" spans="1:22" s="4" customFormat="1" ht="14.45" customHeight="1" x14ac:dyDescent="0.15">
      <c r="A45" s="720" t="s">
        <v>373</v>
      </c>
      <c r="B45" s="721"/>
      <c r="C45" s="721"/>
      <c r="D45" s="722"/>
      <c r="E45" s="453">
        <v>240000</v>
      </c>
      <c r="F45" s="453">
        <f>SUM(F46,F52)</f>
        <v>240000</v>
      </c>
      <c r="G45" s="453">
        <f t="shared" si="0"/>
        <v>0</v>
      </c>
      <c r="H45" s="450"/>
      <c r="I45" s="192"/>
      <c r="J45" s="195"/>
      <c r="K45" s="194"/>
      <c r="L45" s="195"/>
      <c r="M45" s="192"/>
      <c r="N45" s="195"/>
      <c r="O45" s="634"/>
      <c r="P45" s="454"/>
      <c r="Q45" s="454"/>
      <c r="R45" s="454"/>
      <c r="S45" s="434"/>
      <c r="T45" s="434"/>
      <c r="U45" s="434"/>
      <c r="V45" s="434"/>
    </row>
    <row r="46" spans="1:22" s="6" customFormat="1" ht="14.45" customHeight="1" x14ac:dyDescent="0.15">
      <c r="A46" s="401"/>
      <c r="B46" s="720" t="s">
        <v>374</v>
      </c>
      <c r="C46" s="721"/>
      <c r="D46" s="722"/>
      <c r="E46" s="453">
        <v>6600</v>
      </c>
      <c r="F46" s="453">
        <f>SUM(F47)</f>
        <v>13428.58</v>
      </c>
      <c r="G46" s="453">
        <f t="shared" si="0"/>
        <v>6828.58</v>
      </c>
      <c r="H46" s="625" t="s">
        <v>89</v>
      </c>
      <c r="I46" s="348"/>
      <c r="J46" s="353"/>
      <c r="K46" s="352"/>
      <c r="L46" s="353"/>
      <c r="M46" s="348"/>
      <c r="N46" s="353"/>
      <c r="O46" s="143">
        <f>SUM(O47:O52)</f>
        <v>253428580</v>
      </c>
      <c r="P46" s="455"/>
      <c r="Q46" s="455"/>
      <c r="R46" s="455"/>
      <c r="S46" s="438"/>
      <c r="T46" s="438"/>
      <c r="U46" s="438"/>
      <c r="V46" s="438"/>
    </row>
    <row r="47" spans="1:22" s="383" customFormat="1" ht="14.45" customHeight="1" x14ac:dyDescent="0.15">
      <c r="A47" s="401"/>
      <c r="B47" s="401"/>
      <c r="C47" s="720" t="s">
        <v>375</v>
      </c>
      <c r="D47" s="722"/>
      <c r="E47" s="178">
        <v>6600</v>
      </c>
      <c r="F47" s="178">
        <f>O47/1000</f>
        <v>13428.58</v>
      </c>
      <c r="G47" s="178">
        <f t="shared" si="0"/>
        <v>6828.58</v>
      </c>
      <c r="H47" s="635" t="s">
        <v>90</v>
      </c>
      <c r="I47" s="153"/>
      <c r="J47" s="633"/>
      <c r="K47" s="521"/>
      <c r="L47" s="633"/>
      <c r="M47" s="228"/>
      <c r="N47" s="633"/>
      <c r="O47" s="158">
        <f>SUM(O48:O51)</f>
        <v>13428580</v>
      </c>
      <c r="P47" s="622"/>
      <c r="Q47" s="443"/>
      <c r="R47" s="443"/>
      <c r="S47" s="444"/>
      <c r="T47" s="444"/>
      <c r="U47" s="444"/>
      <c r="V47" s="444"/>
    </row>
    <row r="48" spans="1:22" s="383" customFormat="1" ht="14.45" customHeight="1" x14ac:dyDescent="0.15">
      <c r="A48" s="401"/>
      <c r="B48" s="401"/>
      <c r="C48" s="636"/>
      <c r="D48" s="637"/>
      <c r="E48" s="220"/>
      <c r="F48" s="220"/>
      <c r="G48" s="220"/>
      <c r="H48" s="522" t="s">
        <v>722</v>
      </c>
      <c r="I48" s="153">
        <v>431600</v>
      </c>
      <c r="J48" s="633" t="s">
        <v>78</v>
      </c>
      <c r="K48" s="521" t="s">
        <v>79</v>
      </c>
      <c r="L48" s="633">
        <v>12</v>
      </c>
      <c r="M48" s="228" t="s">
        <v>80</v>
      </c>
      <c r="N48" s="633" t="s">
        <v>81</v>
      </c>
      <c r="O48" s="158">
        <v>5180000</v>
      </c>
      <c r="P48" s="622"/>
      <c r="Q48" s="443"/>
      <c r="R48" s="443"/>
      <c r="S48" s="444"/>
      <c r="T48" s="444"/>
      <c r="U48" s="444"/>
      <c r="V48" s="444"/>
    </row>
    <row r="49" spans="1:22" s="383" customFormat="1" ht="14.45" customHeight="1" x14ac:dyDescent="0.15">
      <c r="A49" s="401"/>
      <c r="B49" s="401"/>
      <c r="C49" s="636"/>
      <c r="D49" s="637"/>
      <c r="E49" s="220"/>
      <c r="F49" s="220"/>
      <c r="G49" s="220"/>
      <c r="H49" s="522" t="s">
        <v>723</v>
      </c>
      <c r="I49" s="153">
        <v>2848580</v>
      </c>
      <c r="J49" s="633" t="s">
        <v>78</v>
      </c>
      <c r="K49" s="521" t="s">
        <v>79</v>
      </c>
      <c r="L49" s="633">
        <v>1</v>
      </c>
      <c r="M49" s="228" t="s">
        <v>80</v>
      </c>
      <c r="N49" s="633" t="s">
        <v>81</v>
      </c>
      <c r="O49" s="158">
        <f>I49*L49</f>
        <v>2848580</v>
      </c>
      <c r="P49" s="622"/>
      <c r="Q49" s="443"/>
      <c r="R49" s="443"/>
      <c r="S49" s="444"/>
      <c r="T49" s="444"/>
      <c r="U49" s="444"/>
      <c r="V49" s="444"/>
    </row>
    <row r="50" spans="1:22" s="383" customFormat="1" ht="14.45" customHeight="1" x14ac:dyDescent="0.15">
      <c r="A50" s="401"/>
      <c r="B50" s="401"/>
      <c r="C50" s="636"/>
      <c r="D50" s="637"/>
      <c r="E50" s="220"/>
      <c r="F50" s="220"/>
      <c r="G50" s="220"/>
      <c r="H50" s="522" t="s">
        <v>724</v>
      </c>
      <c r="I50" s="153">
        <v>425000</v>
      </c>
      <c r="J50" s="633" t="s">
        <v>78</v>
      </c>
      <c r="K50" s="521" t="s">
        <v>79</v>
      </c>
      <c r="L50" s="633">
        <v>12</v>
      </c>
      <c r="M50" s="228" t="s">
        <v>80</v>
      </c>
      <c r="N50" s="633" t="s">
        <v>81</v>
      </c>
      <c r="O50" s="158">
        <f>I50*L50</f>
        <v>5100000</v>
      </c>
      <c r="P50" s="622"/>
      <c r="Q50" s="443"/>
      <c r="R50" s="443"/>
      <c r="S50" s="444"/>
      <c r="T50" s="444"/>
      <c r="U50" s="444"/>
      <c r="V50" s="444"/>
    </row>
    <row r="51" spans="1:22" s="383" customFormat="1" ht="14.45" customHeight="1" x14ac:dyDescent="0.15">
      <c r="A51" s="401"/>
      <c r="B51" s="401"/>
      <c r="C51" s="402"/>
      <c r="D51" s="458"/>
      <c r="E51" s="220"/>
      <c r="F51" s="220"/>
      <c r="G51" s="220"/>
      <c r="H51" s="522" t="s">
        <v>725</v>
      </c>
      <c r="I51" s="153">
        <v>50000</v>
      </c>
      <c r="J51" s="633" t="s">
        <v>78</v>
      </c>
      <c r="K51" s="521" t="s">
        <v>79</v>
      </c>
      <c r="L51" s="633">
        <v>6</v>
      </c>
      <c r="M51" s="228" t="s">
        <v>80</v>
      </c>
      <c r="N51" s="633" t="s">
        <v>81</v>
      </c>
      <c r="O51" s="158">
        <f>I51*L51</f>
        <v>300000</v>
      </c>
      <c r="P51" s="443"/>
      <c r="Q51" s="443"/>
      <c r="R51" s="443"/>
      <c r="S51" s="444"/>
      <c r="T51" s="444"/>
      <c r="U51" s="444"/>
      <c r="V51" s="444"/>
    </row>
    <row r="52" spans="1:22" s="8" customFormat="1" ht="14.45" customHeight="1" x14ac:dyDescent="0.15">
      <c r="A52" s="401"/>
      <c r="B52" s="401"/>
      <c r="C52" s="720" t="s">
        <v>376</v>
      </c>
      <c r="D52" s="722"/>
      <c r="E52" s="453">
        <v>233400</v>
      </c>
      <c r="F52" s="453">
        <f>F54</f>
        <v>226571.42</v>
      </c>
      <c r="G52" s="638">
        <f t="shared" si="0"/>
        <v>-6828.5799999999872</v>
      </c>
      <c r="H52" s="625" t="s">
        <v>91</v>
      </c>
      <c r="I52" s="639"/>
      <c r="J52" s="640"/>
      <c r="K52" s="641"/>
      <c r="L52" s="640"/>
      <c r="M52" s="642"/>
      <c r="N52" s="640"/>
      <c r="O52" s="643">
        <f>SUM(O53:O54)</f>
        <v>226571420</v>
      </c>
      <c r="P52" s="443"/>
      <c r="Q52" s="443"/>
      <c r="R52" s="443"/>
      <c r="S52" s="440"/>
      <c r="T52" s="440"/>
      <c r="U52" s="440"/>
      <c r="V52" s="440"/>
    </row>
    <row r="53" spans="1:22" s="8" customFormat="1" ht="14.45" customHeight="1" x14ac:dyDescent="0.15">
      <c r="A53" s="402"/>
      <c r="B53" s="401"/>
      <c r="C53" s="401"/>
      <c r="D53" s="644" t="s">
        <v>377</v>
      </c>
      <c r="E53" s="219">
        <v>0</v>
      </c>
      <c r="F53" s="219">
        <v>0</v>
      </c>
      <c r="G53" s="178">
        <f t="shared" si="0"/>
        <v>0</v>
      </c>
      <c r="H53" s="635" t="s">
        <v>215</v>
      </c>
      <c r="I53" s="287"/>
      <c r="J53" s="290" t="s">
        <v>78</v>
      </c>
      <c r="K53" s="645" t="s">
        <v>79</v>
      </c>
      <c r="L53" s="290">
        <v>12</v>
      </c>
      <c r="M53" s="283" t="s">
        <v>80</v>
      </c>
      <c r="N53" s="290" t="s">
        <v>81</v>
      </c>
      <c r="O53" s="291">
        <f>I53*L53</f>
        <v>0</v>
      </c>
      <c r="P53" s="443"/>
      <c r="Q53" s="443"/>
      <c r="R53" s="443"/>
      <c r="S53" s="440"/>
      <c r="T53" s="440"/>
      <c r="U53" s="440"/>
      <c r="V53" s="440"/>
    </row>
    <row r="54" spans="1:22" s="8" customFormat="1" ht="14.45" customHeight="1" x14ac:dyDescent="0.15">
      <c r="A54" s="610"/>
      <c r="B54" s="320"/>
      <c r="C54" s="320"/>
      <c r="D54" s="339" t="s">
        <v>378</v>
      </c>
      <c r="E54" s="219">
        <v>233400</v>
      </c>
      <c r="F54" s="178">
        <f>O54/1000</f>
        <v>226571.42</v>
      </c>
      <c r="G54" s="219">
        <f t="shared" si="0"/>
        <v>-6828.5799999999872</v>
      </c>
      <c r="H54" s="646" t="s">
        <v>216</v>
      </c>
      <c r="I54" s="287">
        <v>18880095</v>
      </c>
      <c r="J54" s="290" t="s">
        <v>78</v>
      </c>
      <c r="K54" s="645" t="s">
        <v>79</v>
      </c>
      <c r="L54" s="290">
        <v>12</v>
      </c>
      <c r="M54" s="283" t="s">
        <v>80</v>
      </c>
      <c r="N54" s="290" t="s">
        <v>81</v>
      </c>
      <c r="O54" s="291">
        <v>226571420</v>
      </c>
      <c r="P54" s="443"/>
      <c r="Q54" s="443"/>
      <c r="R54" s="443"/>
      <c r="S54" s="440"/>
      <c r="T54" s="440"/>
      <c r="U54" s="440"/>
      <c r="V54" s="440"/>
    </row>
    <row r="55" spans="1:22" s="4" customFormat="1" ht="14.45" customHeight="1" x14ac:dyDescent="0.15">
      <c r="A55" s="711" t="s">
        <v>379</v>
      </c>
      <c r="B55" s="712"/>
      <c r="C55" s="712"/>
      <c r="D55" s="713"/>
      <c r="E55" s="453">
        <v>1011154</v>
      </c>
      <c r="F55" s="453">
        <f>SUM(F56)</f>
        <v>1011153.593</v>
      </c>
      <c r="G55" s="453">
        <f t="shared" si="0"/>
        <v>-0.40700000000651926</v>
      </c>
      <c r="H55" s="450"/>
      <c r="I55" s="192"/>
      <c r="J55" s="195"/>
      <c r="K55" s="194"/>
      <c r="L55" s="195"/>
      <c r="M55" s="192"/>
      <c r="N55" s="195"/>
      <c r="O55" s="196"/>
      <c r="P55" s="454"/>
      <c r="Q55" s="454"/>
      <c r="R55" s="454"/>
      <c r="S55" s="434"/>
      <c r="T55" s="434"/>
      <c r="U55" s="434"/>
      <c r="V55" s="434"/>
    </row>
    <row r="56" spans="1:22" s="6" customFormat="1" ht="14.45" customHeight="1" x14ac:dyDescent="0.15">
      <c r="A56" s="320"/>
      <c r="B56" s="714" t="s">
        <v>380</v>
      </c>
      <c r="C56" s="715"/>
      <c r="D56" s="716"/>
      <c r="E56" s="453">
        <v>1011154</v>
      </c>
      <c r="F56" s="453">
        <f>SUM(F57)</f>
        <v>1011153.593</v>
      </c>
      <c r="G56" s="453">
        <f t="shared" si="0"/>
        <v>-0.40700000000651926</v>
      </c>
      <c r="H56" s="450"/>
      <c r="I56" s="192"/>
      <c r="J56" s="195"/>
      <c r="K56" s="194"/>
      <c r="L56" s="195"/>
      <c r="M56" s="192"/>
      <c r="N56" s="195"/>
      <c r="O56" s="196"/>
      <c r="P56" s="455"/>
      <c r="Q56" s="455"/>
      <c r="R56" s="455"/>
      <c r="S56" s="438"/>
      <c r="T56" s="438"/>
      <c r="U56" s="438"/>
      <c r="V56" s="438"/>
    </row>
    <row r="57" spans="1:22" s="383" customFormat="1" ht="14.45" customHeight="1" x14ac:dyDescent="0.15">
      <c r="A57" s="293"/>
      <c r="B57" s="293"/>
      <c r="C57" s="709" t="s">
        <v>381</v>
      </c>
      <c r="D57" s="710"/>
      <c r="E57" s="517">
        <v>1011154</v>
      </c>
      <c r="F57" s="178">
        <f>O57/1000</f>
        <v>1011153.593</v>
      </c>
      <c r="G57" s="517">
        <f t="shared" si="0"/>
        <v>-0.40700000000651926</v>
      </c>
      <c r="H57" s="518" t="s">
        <v>92</v>
      </c>
      <c r="I57" s="297"/>
      <c r="J57" s="298"/>
      <c r="K57" s="519"/>
      <c r="L57" s="300"/>
      <c r="M57" s="298"/>
      <c r="N57" s="300"/>
      <c r="O57" s="302">
        <f>SUM(O58:O65)</f>
        <v>1011153593</v>
      </c>
      <c r="P57" s="443"/>
      <c r="Q57" s="443"/>
      <c r="R57" s="443"/>
      <c r="S57" s="444"/>
      <c r="T57" s="444"/>
      <c r="U57" s="444"/>
      <c r="V57" s="444"/>
    </row>
    <row r="58" spans="1:22" s="383" customFormat="1" ht="14.45" customHeight="1" x14ac:dyDescent="0.15">
      <c r="A58" s="608"/>
      <c r="B58" s="293"/>
      <c r="C58" s="608"/>
      <c r="D58" s="312"/>
      <c r="E58" s="517"/>
      <c r="F58" s="517"/>
      <c r="G58" s="517">
        <f t="shared" si="0"/>
        <v>0</v>
      </c>
      <c r="H58" s="520" t="s">
        <v>93</v>
      </c>
      <c r="I58" s="153">
        <v>514116948</v>
      </c>
      <c r="J58" s="228" t="s">
        <v>78</v>
      </c>
      <c r="K58" s="521" t="s">
        <v>79</v>
      </c>
      <c r="L58" s="230">
        <v>1</v>
      </c>
      <c r="M58" s="228" t="s">
        <v>82</v>
      </c>
      <c r="N58" s="230" t="s">
        <v>81</v>
      </c>
      <c r="O58" s="158">
        <f t="shared" ref="O58:O64" si="7">SUM(I58*L58)</f>
        <v>514116948</v>
      </c>
      <c r="P58" s="443"/>
      <c r="Q58" s="443"/>
      <c r="R58" s="443"/>
      <c r="S58" s="444"/>
      <c r="T58" s="444"/>
      <c r="U58" s="444"/>
      <c r="V58" s="444"/>
    </row>
    <row r="59" spans="1:22" s="383" customFormat="1" ht="14.45" customHeight="1" x14ac:dyDescent="0.15">
      <c r="A59" s="608"/>
      <c r="B59" s="293"/>
      <c r="C59" s="608"/>
      <c r="D59" s="312"/>
      <c r="E59" s="517"/>
      <c r="F59" s="517"/>
      <c r="G59" s="517"/>
      <c r="H59" s="520" t="s">
        <v>546</v>
      </c>
      <c r="I59" s="153">
        <v>1813690</v>
      </c>
      <c r="J59" s="228" t="s">
        <v>547</v>
      </c>
      <c r="K59" s="521" t="s">
        <v>79</v>
      </c>
      <c r="L59" s="230">
        <v>1</v>
      </c>
      <c r="M59" s="228" t="s">
        <v>82</v>
      </c>
      <c r="N59" s="230" t="s">
        <v>81</v>
      </c>
      <c r="O59" s="158">
        <f t="shared" ref="O59" si="8">SUM(I59*L59)</f>
        <v>1813690</v>
      </c>
      <c r="P59" s="443"/>
      <c r="Q59" s="443"/>
      <c r="R59" s="443"/>
      <c r="S59" s="444"/>
      <c r="T59" s="444"/>
      <c r="U59" s="444"/>
      <c r="V59" s="444"/>
    </row>
    <row r="60" spans="1:22" s="383" customFormat="1" ht="14.45" customHeight="1" x14ac:dyDescent="0.15">
      <c r="A60" s="608"/>
      <c r="B60" s="293"/>
      <c r="C60" s="608"/>
      <c r="D60" s="312"/>
      <c r="E60" s="517"/>
      <c r="F60" s="517"/>
      <c r="G60" s="517"/>
      <c r="H60" s="520" t="s">
        <v>503</v>
      </c>
      <c r="I60" s="153">
        <v>44620799</v>
      </c>
      <c r="J60" s="228" t="s">
        <v>78</v>
      </c>
      <c r="K60" s="521" t="s">
        <v>79</v>
      </c>
      <c r="L60" s="230">
        <v>1</v>
      </c>
      <c r="M60" s="228" t="s">
        <v>82</v>
      </c>
      <c r="N60" s="230" t="s">
        <v>81</v>
      </c>
      <c r="O60" s="158">
        <f t="shared" si="7"/>
        <v>44620799</v>
      </c>
      <c r="P60" s="443"/>
      <c r="Q60" s="443"/>
      <c r="R60" s="443"/>
      <c r="S60" s="444"/>
      <c r="T60" s="444"/>
      <c r="U60" s="444"/>
      <c r="V60" s="444"/>
    </row>
    <row r="61" spans="1:22" s="383" customFormat="1" ht="14.45" customHeight="1" x14ac:dyDescent="0.15">
      <c r="A61" s="608"/>
      <c r="B61" s="293"/>
      <c r="C61" s="608"/>
      <c r="D61" s="312"/>
      <c r="E61" s="517"/>
      <c r="F61" s="517"/>
      <c r="G61" s="517">
        <f t="shared" si="0"/>
        <v>0</v>
      </c>
      <c r="H61" s="520" t="s">
        <v>278</v>
      </c>
      <c r="I61" s="153">
        <v>430000000</v>
      </c>
      <c r="J61" s="228" t="s">
        <v>78</v>
      </c>
      <c r="K61" s="521" t="s">
        <v>79</v>
      </c>
      <c r="L61" s="230">
        <v>1</v>
      </c>
      <c r="M61" s="228" t="s">
        <v>82</v>
      </c>
      <c r="N61" s="230" t="s">
        <v>81</v>
      </c>
      <c r="O61" s="158">
        <f t="shared" si="7"/>
        <v>430000000</v>
      </c>
      <c r="P61" s="443"/>
      <c r="Q61" s="443"/>
      <c r="R61" s="443"/>
      <c r="S61" s="444"/>
      <c r="T61" s="444"/>
      <c r="U61" s="444"/>
      <c r="V61" s="444"/>
    </row>
    <row r="62" spans="1:22" s="383" customFormat="1" ht="14.45" customHeight="1" x14ac:dyDescent="0.15">
      <c r="A62" s="608"/>
      <c r="B62" s="293"/>
      <c r="C62" s="608"/>
      <c r="D62" s="312"/>
      <c r="E62" s="517"/>
      <c r="F62" s="517"/>
      <c r="G62" s="517">
        <f t="shared" si="0"/>
        <v>0</v>
      </c>
      <c r="H62" s="520" t="s">
        <v>279</v>
      </c>
      <c r="I62" s="153">
        <v>16341581</v>
      </c>
      <c r="J62" s="228" t="s">
        <v>78</v>
      </c>
      <c r="K62" s="521" t="s">
        <v>79</v>
      </c>
      <c r="L62" s="230">
        <v>1</v>
      </c>
      <c r="M62" s="228" t="s">
        <v>82</v>
      </c>
      <c r="N62" s="230" t="s">
        <v>81</v>
      </c>
      <c r="O62" s="158">
        <f t="shared" si="7"/>
        <v>16341581</v>
      </c>
      <c r="P62" s="443"/>
      <c r="Q62" s="443"/>
      <c r="R62" s="443"/>
      <c r="S62" s="444"/>
      <c r="T62" s="444"/>
      <c r="U62" s="444"/>
      <c r="V62" s="444"/>
    </row>
    <row r="63" spans="1:22" s="383" customFormat="1" ht="14.45" customHeight="1" x14ac:dyDescent="0.15">
      <c r="A63" s="608"/>
      <c r="B63" s="293"/>
      <c r="C63" s="608"/>
      <c r="D63" s="312"/>
      <c r="E63" s="517"/>
      <c r="F63" s="517"/>
      <c r="G63" s="517">
        <f t="shared" si="0"/>
        <v>0</v>
      </c>
      <c r="H63" s="520" t="s">
        <v>280</v>
      </c>
      <c r="I63" s="153">
        <v>0</v>
      </c>
      <c r="J63" s="228" t="s">
        <v>78</v>
      </c>
      <c r="K63" s="521" t="s">
        <v>79</v>
      </c>
      <c r="L63" s="230">
        <v>1</v>
      </c>
      <c r="M63" s="228" t="s">
        <v>82</v>
      </c>
      <c r="N63" s="230" t="s">
        <v>81</v>
      </c>
      <c r="O63" s="158">
        <f t="shared" si="7"/>
        <v>0</v>
      </c>
      <c r="P63" s="443"/>
      <c r="Q63" s="443"/>
      <c r="R63" s="443"/>
      <c r="S63" s="444"/>
      <c r="T63" s="444"/>
      <c r="U63" s="444"/>
      <c r="V63" s="444"/>
    </row>
    <row r="64" spans="1:22" s="383" customFormat="1" ht="14.45" customHeight="1" x14ac:dyDescent="0.15">
      <c r="A64" s="608"/>
      <c r="B64" s="293"/>
      <c r="C64" s="608"/>
      <c r="D64" s="312"/>
      <c r="E64" s="517"/>
      <c r="F64" s="517"/>
      <c r="G64" s="517"/>
      <c r="H64" s="522" t="s">
        <v>281</v>
      </c>
      <c r="I64" s="153">
        <v>4260575</v>
      </c>
      <c r="J64" s="228" t="s">
        <v>78</v>
      </c>
      <c r="K64" s="521" t="s">
        <v>79</v>
      </c>
      <c r="L64" s="230">
        <v>1</v>
      </c>
      <c r="M64" s="228" t="s">
        <v>82</v>
      </c>
      <c r="N64" s="230" t="s">
        <v>81</v>
      </c>
      <c r="O64" s="158">
        <f t="shared" si="7"/>
        <v>4260575</v>
      </c>
      <c r="P64" s="443"/>
      <c r="Q64" s="443"/>
      <c r="R64" s="443"/>
      <c r="S64" s="444"/>
      <c r="T64" s="444"/>
      <c r="U64" s="444"/>
      <c r="V64" s="444"/>
    </row>
    <row r="65" spans="1:22" s="383" customFormat="1" ht="14.45" customHeight="1" x14ac:dyDescent="0.15">
      <c r="A65" s="608"/>
      <c r="B65" s="293"/>
      <c r="C65" s="608"/>
      <c r="D65" s="321"/>
      <c r="E65" s="523"/>
      <c r="F65" s="523"/>
      <c r="G65" s="523">
        <f t="shared" si="0"/>
        <v>0</v>
      </c>
      <c r="H65" s="524" t="s">
        <v>282</v>
      </c>
      <c r="I65" s="170">
        <v>0</v>
      </c>
      <c r="J65" s="525" t="s">
        <v>78</v>
      </c>
      <c r="K65" s="526" t="s">
        <v>79</v>
      </c>
      <c r="L65" s="527">
        <v>1</v>
      </c>
      <c r="M65" s="525" t="s">
        <v>82</v>
      </c>
      <c r="N65" s="527" t="s">
        <v>81</v>
      </c>
      <c r="O65" s="174">
        <v>0</v>
      </c>
      <c r="P65" s="443"/>
      <c r="Q65" s="443"/>
      <c r="R65" s="443"/>
      <c r="S65" s="444"/>
      <c r="T65" s="444"/>
      <c r="U65" s="444"/>
      <c r="V65" s="444"/>
    </row>
    <row r="66" spans="1:22" s="4" customFormat="1" ht="15.6" customHeight="1" x14ac:dyDescent="0.15">
      <c r="A66" s="711" t="s">
        <v>382</v>
      </c>
      <c r="B66" s="712"/>
      <c r="C66" s="712"/>
      <c r="D66" s="713"/>
      <c r="E66" s="453">
        <v>88150</v>
      </c>
      <c r="F66" s="453">
        <f>F67</f>
        <v>78670</v>
      </c>
      <c r="G66" s="453">
        <f t="shared" si="0"/>
        <v>-9480</v>
      </c>
      <c r="H66" s="450"/>
      <c r="I66" s="192"/>
      <c r="J66" s="195"/>
      <c r="K66" s="194"/>
      <c r="L66" s="195"/>
      <c r="M66" s="192"/>
      <c r="N66" s="195"/>
      <c r="O66" s="196"/>
      <c r="P66" s="454"/>
      <c r="Q66" s="454"/>
      <c r="R66" s="454"/>
      <c r="S66" s="434"/>
      <c r="T66" s="434"/>
      <c r="U66" s="434"/>
      <c r="V66" s="434"/>
    </row>
    <row r="67" spans="1:22" s="6" customFormat="1" ht="15.6" customHeight="1" x14ac:dyDescent="0.15">
      <c r="A67" s="293"/>
      <c r="B67" s="711" t="s">
        <v>383</v>
      </c>
      <c r="C67" s="712"/>
      <c r="D67" s="713"/>
      <c r="E67" s="453">
        <v>88150</v>
      </c>
      <c r="F67" s="453">
        <f>SUM(F68,F71)</f>
        <v>78670</v>
      </c>
      <c r="G67" s="453">
        <f t="shared" si="0"/>
        <v>-9480</v>
      </c>
      <c r="H67" s="450"/>
      <c r="I67" s="192"/>
      <c r="J67" s="195"/>
      <c r="K67" s="194"/>
      <c r="L67" s="195"/>
      <c r="M67" s="192"/>
      <c r="N67" s="195"/>
      <c r="O67" s="196">
        <f>O68+O71</f>
        <v>78670000</v>
      </c>
      <c r="P67" s="455"/>
      <c r="Q67" s="455"/>
      <c r="R67" s="455"/>
      <c r="S67" s="438"/>
      <c r="T67" s="438"/>
      <c r="U67" s="438"/>
      <c r="V67" s="438"/>
    </row>
    <row r="68" spans="1:22" s="8" customFormat="1" ht="15.6" customHeight="1" x14ac:dyDescent="0.15">
      <c r="A68" s="293"/>
      <c r="B68" s="293"/>
      <c r="C68" s="709" t="s">
        <v>384</v>
      </c>
      <c r="D68" s="710"/>
      <c r="E68" s="178">
        <v>12200</v>
      </c>
      <c r="F68" s="178">
        <f>O68/1000</f>
        <v>12200</v>
      </c>
      <c r="G68" s="178">
        <f t="shared" si="0"/>
        <v>0</v>
      </c>
      <c r="H68" s="456" t="s">
        <v>94</v>
      </c>
      <c r="I68" s="205"/>
      <c r="J68" s="314"/>
      <c r="K68" s="457"/>
      <c r="L68" s="316"/>
      <c r="M68" s="314"/>
      <c r="N68" s="316"/>
      <c r="O68" s="209">
        <f>SUM(O69:O70)</f>
        <v>12200000</v>
      </c>
      <c r="P68" s="443"/>
      <c r="Q68" s="443"/>
      <c r="R68" s="443"/>
      <c r="S68" s="440"/>
      <c r="T68" s="440"/>
      <c r="U68" s="440"/>
      <c r="V68" s="440"/>
    </row>
    <row r="69" spans="1:22" s="8" customFormat="1" ht="15.6" customHeight="1" x14ac:dyDescent="0.15">
      <c r="A69" s="5"/>
      <c r="B69" s="5"/>
      <c r="C69" s="29"/>
      <c r="D69" s="124"/>
      <c r="E69" s="112"/>
      <c r="F69" s="112"/>
      <c r="G69" s="112">
        <f t="shared" si="0"/>
        <v>0</v>
      </c>
      <c r="H69" s="109" t="s">
        <v>95</v>
      </c>
      <c r="I69" s="118">
        <v>3000000</v>
      </c>
      <c r="J69" s="27" t="s">
        <v>78</v>
      </c>
      <c r="K69" s="73" t="s">
        <v>79</v>
      </c>
      <c r="L69" s="117">
        <v>4</v>
      </c>
      <c r="M69" s="27" t="s">
        <v>82</v>
      </c>
      <c r="N69" s="117" t="s">
        <v>81</v>
      </c>
      <c r="O69" s="120">
        <f>SUM(I69*L69)</f>
        <v>12000000</v>
      </c>
      <c r="P69" s="440"/>
      <c r="Q69" s="440"/>
      <c r="R69" s="440"/>
      <c r="S69" s="440"/>
      <c r="T69" s="440"/>
      <c r="U69" s="440"/>
      <c r="V69" s="440"/>
    </row>
    <row r="70" spans="1:22" s="8" customFormat="1" ht="15.6" customHeight="1" x14ac:dyDescent="0.15">
      <c r="A70" s="5"/>
      <c r="B70" s="5"/>
      <c r="C70" s="84"/>
      <c r="D70" s="85"/>
      <c r="E70" s="113"/>
      <c r="F70" s="113"/>
      <c r="G70" s="113">
        <f t="shared" si="0"/>
        <v>0</v>
      </c>
      <c r="H70" s="74" t="s">
        <v>96</v>
      </c>
      <c r="I70" s="121">
        <v>50000</v>
      </c>
      <c r="J70" s="76" t="s">
        <v>78</v>
      </c>
      <c r="K70" s="75" t="s">
        <v>79</v>
      </c>
      <c r="L70" s="77">
        <v>4</v>
      </c>
      <c r="M70" s="76" t="s">
        <v>82</v>
      </c>
      <c r="N70" s="77" t="s">
        <v>81</v>
      </c>
      <c r="O70" s="122">
        <f>SUM(I70*L70)</f>
        <v>200000</v>
      </c>
      <c r="P70" s="440"/>
      <c r="Q70" s="440"/>
      <c r="R70" s="440"/>
      <c r="S70" s="440"/>
      <c r="T70" s="440"/>
      <c r="U70" s="440"/>
      <c r="V70" s="440"/>
    </row>
    <row r="71" spans="1:22" s="8" customFormat="1" ht="13.5" customHeight="1" x14ac:dyDescent="0.15">
      <c r="A71" s="5"/>
      <c r="B71" s="5"/>
      <c r="C71" s="699" t="s">
        <v>385</v>
      </c>
      <c r="D71" s="700"/>
      <c r="E71" s="112">
        <v>75950</v>
      </c>
      <c r="F71" s="178">
        <f>O71/1000</f>
        <v>66470</v>
      </c>
      <c r="G71" s="112">
        <f t="shared" si="0"/>
        <v>-9480</v>
      </c>
      <c r="H71" s="108" t="s">
        <v>97</v>
      </c>
      <c r="I71" s="86"/>
      <c r="J71" s="105"/>
      <c r="K71" s="106"/>
      <c r="L71" s="107"/>
      <c r="M71" s="105"/>
      <c r="N71" s="107"/>
      <c r="O71" s="87">
        <f>SUM(O72:O77)</f>
        <v>66470000</v>
      </c>
      <c r="P71" s="440"/>
      <c r="Q71" s="440"/>
      <c r="R71" s="440"/>
      <c r="S71" s="440"/>
      <c r="T71" s="440"/>
      <c r="U71" s="440"/>
      <c r="V71" s="440"/>
    </row>
    <row r="72" spans="1:22" s="8" customFormat="1" ht="15.6" customHeight="1" x14ac:dyDescent="0.15">
      <c r="A72" s="5"/>
      <c r="B72" s="5"/>
      <c r="C72" s="29"/>
      <c r="D72" s="124"/>
      <c r="E72" s="112"/>
      <c r="F72" s="112"/>
      <c r="G72" s="112">
        <f t="shared" si="0"/>
        <v>0</v>
      </c>
      <c r="H72" s="109" t="s">
        <v>151</v>
      </c>
      <c r="I72" s="118"/>
      <c r="J72" s="27" t="s">
        <v>78</v>
      </c>
      <c r="K72" s="73" t="s">
        <v>79</v>
      </c>
      <c r="L72" s="117"/>
      <c r="M72" s="27" t="s">
        <v>82</v>
      </c>
      <c r="N72" s="117" t="s">
        <v>81</v>
      </c>
      <c r="O72" s="120">
        <f>SUM(I72*L72)</f>
        <v>0</v>
      </c>
      <c r="P72" s="440"/>
      <c r="Q72" s="440"/>
      <c r="R72" s="440"/>
      <c r="S72" s="440"/>
      <c r="T72" s="440"/>
      <c r="U72" s="440"/>
      <c r="V72" s="440"/>
    </row>
    <row r="73" spans="1:22" s="8" customFormat="1" ht="15.6" customHeight="1" x14ac:dyDescent="0.15">
      <c r="A73" s="5"/>
      <c r="B73" s="5"/>
      <c r="C73" s="29"/>
      <c r="D73" s="124"/>
      <c r="E73" s="112"/>
      <c r="F73" s="112"/>
      <c r="G73" s="112"/>
      <c r="H73" s="528" t="s">
        <v>329</v>
      </c>
      <c r="I73" s="529">
        <v>350000</v>
      </c>
      <c r="J73" s="530" t="s">
        <v>241</v>
      </c>
      <c r="K73" s="531" t="s">
        <v>323</v>
      </c>
      <c r="L73" s="532">
        <v>2</v>
      </c>
      <c r="M73" s="530" t="s">
        <v>242</v>
      </c>
      <c r="N73" s="532" t="s">
        <v>240</v>
      </c>
      <c r="O73" s="533">
        <f>I73*L73</f>
        <v>700000</v>
      </c>
      <c r="P73" s="440"/>
      <c r="Q73" s="440"/>
      <c r="R73" s="440"/>
      <c r="S73" s="440"/>
      <c r="T73" s="440"/>
      <c r="U73" s="440"/>
      <c r="V73" s="440"/>
    </row>
    <row r="74" spans="1:22" s="8" customFormat="1" ht="15.6" customHeight="1" x14ac:dyDescent="0.15">
      <c r="A74" s="5"/>
      <c r="B74" s="5"/>
      <c r="C74" s="29"/>
      <c r="D74" s="124"/>
      <c r="E74" s="112"/>
      <c r="F74" s="112"/>
      <c r="G74" s="112"/>
      <c r="H74" s="388" t="s">
        <v>330</v>
      </c>
      <c r="I74" s="389">
        <v>5400000</v>
      </c>
      <c r="J74" s="390" t="s">
        <v>241</v>
      </c>
      <c r="K74" s="391" t="s">
        <v>323</v>
      </c>
      <c r="L74" s="392">
        <v>12</v>
      </c>
      <c r="M74" s="390" t="s">
        <v>242</v>
      </c>
      <c r="N74" s="392" t="s">
        <v>240</v>
      </c>
      <c r="O74" s="120">
        <f>I74*L74</f>
        <v>64800000</v>
      </c>
      <c r="P74" s="440"/>
      <c r="Q74" s="440"/>
      <c r="R74" s="440"/>
      <c r="S74" s="440"/>
      <c r="T74" s="440"/>
      <c r="U74" s="440"/>
      <c r="V74" s="440"/>
    </row>
    <row r="75" spans="1:22" s="8" customFormat="1" ht="15.6" customHeight="1" x14ac:dyDescent="0.15">
      <c r="A75" s="5"/>
      <c r="B75" s="5"/>
      <c r="C75" s="29"/>
      <c r="D75" s="124"/>
      <c r="E75" s="112"/>
      <c r="F75" s="112"/>
      <c r="G75" s="112"/>
      <c r="H75" s="379" t="s">
        <v>467</v>
      </c>
      <c r="I75" s="380">
        <v>150000</v>
      </c>
      <c r="J75" s="382" t="s">
        <v>241</v>
      </c>
      <c r="K75" s="381" t="s">
        <v>323</v>
      </c>
      <c r="L75" s="534">
        <v>1</v>
      </c>
      <c r="M75" s="382" t="s">
        <v>242</v>
      </c>
      <c r="N75" s="534" t="s">
        <v>240</v>
      </c>
      <c r="O75" s="222">
        <f t="shared" ref="O75:O76" si="9">SUM(I75*L75)</f>
        <v>150000</v>
      </c>
      <c r="P75" s="440"/>
      <c r="Q75" s="440"/>
      <c r="R75" s="440"/>
      <c r="S75" s="440"/>
      <c r="T75" s="440"/>
      <c r="U75" s="440"/>
      <c r="V75" s="440"/>
    </row>
    <row r="76" spans="1:22" s="8" customFormat="1" ht="15.6" customHeight="1" x14ac:dyDescent="0.15">
      <c r="A76" s="5"/>
      <c r="B76" s="5"/>
      <c r="C76" s="29"/>
      <c r="D76" s="124"/>
      <c r="E76" s="112"/>
      <c r="F76" s="112"/>
      <c r="G76" s="112"/>
      <c r="H76" s="379" t="s">
        <v>564</v>
      </c>
      <c r="I76" s="380">
        <v>720000</v>
      </c>
      <c r="J76" s="382" t="s">
        <v>241</v>
      </c>
      <c r="K76" s="381" t="s">
        <v>323</v>
      </c>
      <c r="L76" s="534">
        <v>1</v>
      </c>
      <c r="M76" s="382" t="s">
        <v>242</v>
      </c>
      <c r="N76" s="534" t="s">
        <v>240</v>
      </c>
      <c r="O76" s="222">
        <f t="shared" si="9"/>
        <v>720000</v>
      </c>
      <c r="P76" s="440"/>
      <c r="Q76" s="440"/>
      <c r="R76" s="440"/>
      <c r="S76" s="440"/>
      <c r="T76" s="440"/>
      <c r="U76" s="440"/>
      <c r="V76" s="440"/>
    </row>
    <row r="77" spans="1:22" s="383" customFormat="1" ht="15.6" customHeight="1" x14ac:dyDescent="0.15">
      <c r="A77" s="393"/>
      <c r="B77" s="393"/>
      <c r="C77" s="384"/>
      <c r="D77" s="385"/>
      <c r="E77" s="386"/>
      <c r="F77" s="386"/>
      <c r="G77" s="386"/>
      <c r="H77" s="387" t="s">
        <v>565</v>
      </c>
      <c r="I77" s="394">
        <v>100000</v>
      </c>
      <c r="J77" s="395" t="s">
        <v>241</v>
      </c>
      <c r="K77" s="396" t="s">
        <v>323</v>
      </c>
      <c r="L77" s="397">
        <v>1</v>
      </c>
      <c r="M77" s="395" t="s">
        <v>242</v>
      </c>
      <c r="N77" s="397" t="s">
        <v>240</v>
      </c>
      <c r="O77" s="398">
        <f t="shared" ref="O77" si="10">SUM(I77*L77)</f>
        <v>100000</v>
      </c>
      <c r="P77" s="444" t="s">
        <v>461</v>
      </c>
      <c r="Q77" s="444"/>
      <c r="R77" s="444"/>
      <c r="S77" s="444"/>
      <c r="T77" s="444"/>
      <c r="U77" s="444"/>
      <c r="V77" s="444"/>
    </row>
  </sheetData>
  <mergeCells count="40">
    <mergeCell ref="A1:O1"/>
    <mergeCell ref="A2:O2"/>
    <mergeCell ref="N3:O3"/>
    <mergeCell ref="A3:M3"/>
    <mergeCell ref="A4:D4"/>
    <mergeCell ref="E4:E5"/>
    <mergeCell ref="F4:F5"/>
    <mergeCell ref="G4:G5"/>
    <mergeCell ref="H4:O5"/>
    <mergeCell ref="C26:D26"/>
    <mergeCell ref="A6:D6"/>
    <mergeCell ref="A7:D7"/>
    <mergeCell ref="B8:D8"/>
    <mergeCell ref="C9:D9"/>
    <mergeCell ref="C13:D13"/>
    <mergeCell ref="C14:D14"/>
    <mergeCell ref="A17:D17"/>
    <mergeCell ref="B18:D18"/>
    <mergeCell ref="C19:D19"/>
    <mergeCell ref="A24:D24"/>
    <mergeCell ref="B25:D25"/>
    <mergeCell ref="B56:D56"/>
    <mergeCell ref="C34:D34"/>
    <mergeCell ref="I36:J36"/>
    <mergeCell ref="I37:J37"/>
    <mergeCell ref="A38:D38"/>
    <mergeCell ref="B39:D39"/>
    <mergeCell ref="C40:D40"/>
    <mergeCell ref="A45:D45"/>
    <mergeCell ref="B46:D46"/>
    <mergeCell ref="C47:D47"/>
    <mergeCell ref="C52:D52"/>
    <mergeCell ref="A55:D55"/>
    <mergeCell ref="C41:D41"/>
    <mergeCell ref="C42:D42"/>
    <mergeCell ref="C57:D57"/>
    <mergeCell ref="A66:D66"/>
    <mergeCell ref="B67:D67"/>
    <mergeCell ref="C68:D68"/>
    <mergeCell ref="C71:D71"/>
  </mergeCells>
  <phoneticPr fontId="2" type="noConversion"/>
  <pageMargins left="0.43307086614173229" right="0.43307086614173229" top="0.82677165354330717" bottom="0.70866141732283472" header="0.82677165354330717" footer="0.47244094488188981"/>
  <pageSetup paperSize="9" firstPageNumber="5" fitToHeight="0" orientation="portrait" r:id="rId1"/>
  <headerFooter>
    <oddFooter>&amp;L사회복지법인 밀알복지재단&amp;C&amp;P/&amp;N&amp;R&amp;"+,굵게"&amp;12&amp;K0070C0Goodwill Store</oddFooter>
  </headerFooter>
  <ignoredErrors>
    <ignoredError sqref="O11 O71 O14:O32 F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98"/>
  <sheetViews>
    <sheetView tabSelected="1" topLeftCell="D1" zoomScale="130" zoomScaleNormal="130" zoomScaleSheetLayoutView="115" workbookViewId="0">
      <pane ySplit="6" topLeftCell="A31" activePane="bottomLeft" state="frozen"/>
      <selection activeCell="K19" sqref="K19"/>
      <selection pane="bottomLeft" activeCell="K19" sqref="K19"/>
    </sheetView>
  </sheetViews>
  <sheetFormatPr defaultRowHeight="12" x14ac:dyDescent="0.15"/>
  <cols>
    <col min="1" max="2" width="0.88671875" style="274" customWidth="1"/>
    <col min="3" max="3" width="1" style="274" customWidth="1"/>
    <col min="4" max="4" width="12.88671875" style="274" customWidth="1"/>
    <col min="5" max="7" width="7.33203125" style="363" customWidth="1"/>
    <col min="8" max="8" width="17.77734375" style="368" customWidth="1"/>
    <col min="9" max="9" width="6.6640625" style="363" customWidth="1"/>
    <col min="10" max="10" width="3.109375" style="368" customWidth="1"/>
    <col min="11" max="11" width="2.21875" style="369" customWidth="1"/>
    <col min="12" max="12" width="2.33203125" style="370" customWidth="1"/>
    <col min="13" max="13" width="3.109375" style="347" customWidth="1"/>
    <col min="14" max="14" width="2.44140625" style="370" customWidth="1"/>
    <col min="15" max="15" width="7.6640625" style="363" customWidth="1"/>
    <col min="16" max="16" width="33.5546875" style="576" customWidth="1"/>
    <col min="17" max="17" width="12.5546875" style="312" customWidth="1"/>
    <col min="18" max="16384" width="8.88671875" style="274"/>
  </cols>
  <sheetData>
    <row r="1" spans="1:17" ht="24.95" customHeight="1" x14ac:dyDescent="0.15">
      <c r="A1" s="779" t="s">
        <v>196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7" ht="13.5" customHeight="1" x14ac:dyDescent="0.15">
      <c r="A2" s="706" t="s">
        <v>570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7" ht="15.95" customHeight="1" x14ac:dyDescent="0.15">
      <c r="A3" s="275"/>
      <c r="B3" s="275"/>
      <c r="C3" s="275"/>
      <c r="D3" s="275"/>
      <c r="E3" s="276"/>
      <c r="F3" s="277">
        <f>세입내역!F6-세출내역!F6</f>
        <v>-0.4419999998062849</v>
      </c>
      <c r="G3" s="425">
        <f>SUM(O248,O249,O276,O278,O281,O282,O284)</f>
        <v>226050000</v>
      </c>
      <c r="H3" s="780"/>
      <c r="I3" s="781"/>
      <c r="J3" s="781"/>
      <c r="K3" s="781"/>
      <c r="L3" s="781"/>
      <c r="M3" s="781"/>
      <c r="N3" s="782" t="s">
        <v>192</v>
      </c>
      <c r="O3" s="782"/>
    </row>
    <row r="4" spans="1:17" ht="12.95" customHeight="1" x14ac:dyDescent="0.15">
      <c r="A4" s="783" t="s">
        <v>64</v>
      </c>
      <c r="B4" s="784"/>
      <c r="C4" s="784"/>
      <c r="D4" s="785"/>
      <c r="E4" s="684" t="s">
        <v>562</v>
      </c>
      <c r="F4" s="684" t="s">
        <v>561</v>
      </c>
      <c r="G4" s="786" t="s">
        <v>0</v>
      </c>
      <c r="H4" s="420" t="s">
        <v>76</v>
      </c>
      <c r="I4" s="426"/>
      <c r="J4" s="426"/>
      <c r="K4" s="426"/>
      <c r="L4" s="426"/>
      <c r="M4" s="426"/>
      <c r="N4" s="426"/>
      <c r="O4" s="424"/>
    </row>
    <row r="5" spans="1:17" ht="23.25" customHeight="1" x14ac:dyDescent="0.15">
      <c r="A5" s="278"/>
      <c r="B5" s="278"/>
      <c r="C5" s="278"/>
      <c r="D5" s="279" t="s">
        <v>65</v>
      </c>
      <c r="E5" s="685"/>
      <c r="F5" s="685"/>
      <c r="G5" s="787"/>
      <c r="H5" s="421"/>
      <c r="I5" s="422"/>
      <c r="J5" s="422"/>
      <c r="K5" s="422"/>
      <c r="L5" s="665"/>
      <c r="M5" s="422"/>
      <c r="N5" s="422"/>
      <c r="O5" s="423"/>
    </row>
    <row r="6" spans="1:17" ht="15" customHeight="1" x14ac:dyDescent="0.15">
      <c r="A6" s="783" t="s">
        <v>17</v>
      </c>
      <c r="B6" s="784"/>
      <c r="C6" s="784"/>
      <c r="D6" s="784"/>
      <c r="E6" s="280">
        <v>4690987</v>
      </c>
      <c r="F6" s="280">
        <f>SUM(F7,F272,F296,F445,F450,F455,F460)</f>
        <v>4124176.0349999997</v>
      </c>
      <c r="G6" s="280">
        <f t="shared" ref="G6:G84" si="0">F6-E6</f>
        <v>-566810.96500000032</v>
      </c>
      <c r="H6" s="281"/>
      <c r="I6" s="282"/>
      <c r="J6" s="283"/>
      <c r="K6" s="284"/>
      <c r="L6" s="280"/>
      <c r="M6" s="284"/>
      <c r="N6" s="284"/>
      <c r="O6" s="285"/>
    </row>
    <row r="7" spans="1:17" s="292" customFormat="1" ht="14.1" customHeight="1" x14ac:dyDescent="0.15">
      <c r="A7" s="711" t="s">
        <v>1</v>
      </c>
      <c r="B7" s="715"/>
      <c r="C7" s="715"/>
      <c r="D7" s="716"/>
      <c r="E7" s="280">
        <v>1634237</v>
      </c>
      <c r="F7" s="280">
        <f>SUM(F8,F220,F228)</f>
        <v>1577124.186</v>
      </c>
      <c r="G7" s="280">
        <f t="shared" si="0"/>
        <v>-57112.814000000013</v>
      </c>
      <c r="H7" s="286"/>
      <c r="I7" s="287"/>
      <c r="J7" s="288"/>
      <c r="K7" s="289"/>
      <c r="L7" s="290"/>
      <c r="M7" s="287"/>
      <c r="N7" s="290"/>
      <c r="O7" s="291"/>
      <c r="P7" s="577"/>
      <c r="Q7" s="454"/>
    </row>
    <row r="8" spans="1:17" s="294" customFormat="1" ht="14.1" customHeight="1" x14ac:dyDescent="0.15">
      <c r="A8" s="293"/>
      <c r="B8" s="711" t="s">
        <v>16</v>
      </c>
      <c r="C8" s="715"/>
      <c r="D8" s="716"/>
      <c r="E8" s="280">
        <v>1253291</v>
      </c>
      <c r="F8" s="280">
        <f>SUM(F9,F54,F193,F196,F197,F203)</f>
        <v>1235438.186</v>
      </c>
      <c r="G8" s="280">
        <f t="shared" si="0"/>
        <v>-17852.814000000013</v>
      </c>
      <c r="H8" s="286"/>
      <c r="I8" s="287"/>
      <c r="J8" s="288"/>
      <c r="K8" s="289"/>
      <c r="L8" s="290"/>
      <c r="M8" s="287"/>
      <c r="N8" s="290"/>
      <c r="O8" s="291"/>
      <c r="P8" s="578"/>
      <c r="Q8" s="455"/>
    </row>
    <row r="9" spans="1:17" s="303" customFormat="1" ht="14.1" customHeight="1" x14ac:dyDescent="0.15">
      <c r="A9" s="293"/>
      <c r="B9" s="293"/>
      <c r="C9" s="711" t="s">
        <v>2</v>
      </c>
      <c r="D9" s="713"/>
      <c r="E9" s="295">
        <v>823235</v>
      </c>
      <c r="F9" s="295">
        <f>SUM(F10,F42)</f>
        <v>774467.56</v>
      </c>
      <c r="G9" s="295">
        <f t="shared" si="0"/>
        <v>-48767.439999999944</v>
      </c>
      <c r="H9" s="296" t="s">
        <v>98</v>
      </c>
      <c r="I9" s="297"/>
      <c r="J9" s="298"/>
      <c r="K9" s="299"/>
      <c r="L9" s="300"/>
      <c r="M9" s="301"/>
      <c r="N9" s="300"/>
      <c r="O9" s="302">
        <f>SUM(O10,O42)</f>
        <v>774467560</v>
      </c>
      <c r="P9" s="579"/>
      <c r="Q9" s="443"/>
    </row>
    <row r="10" spans="1:17" s="303" customFormat="1" ht="14.1" customHeight="1" x14ac:dyDescent="0.15">
      <c r="B10" s="293"/>
      <c r="C10" s="293"/>
      <c r="D10" s="304" t="s">
        <v>99</v>
      </c>
      <c r="E10" s="162">
        <v>497604</v>
      </c>
      <c r="F10" s="599">
        <f>O10/1000</f>
        <v>497604.16</v>
      </c>
      <c r="G10" s="162">
        <f t="shared" si="0"/>
        <v>0.15999999997438863</v>
      </c>
      <c r="H10" s="210" t="s">
        <v>405</v>
      </c>
      <c r="I10" s="164"/>
      <c r="J10" s="233"/>
      <c r="K10" s="234"/>
      <c r="L10" s="235"/>
      <c r="M10" s="236"/>
      <c r="N10" s="235"/>
      <c r="O10" s="168">
        <f>SUM(O11:O12)</f>
        <v>497604160</v>
      </c>
      <c r="P10" s="579"/>
      <c r="Q10" s="443"/>
    </row>
    <row r="11" spans="1:17" s="303" customFormat="1" ht="14.1" customHeight="1" x14ac:dyDescent="0.15">
      <c r="B11" s="293"/>
      <c r="C11" s="293"/>
      <c r="D11" s="305"/>
      <c r="E11" s="223"/>
      <c r="F11" s="223"/>
      <c r="G11" s="223"/>
      <c r="H11" s="656" t="s">
        <v>406</v>
      </c>
      <c r="I11" s="657"/>
      <c r="J11" s="658"/>
      <c r="K11" s="659"/>
      <c r="L11" s="660"/>
      <c r="M11" s="661"/>
      <c r="N11" s="660"/>
      <c r="O11" s="654">
        <f>SUM(O13)</f>
        <v>470672160</v>
      </c>
      <c r="P11" s="581"/>
      <c r="Q11" s="443"/>
    </row>
    <row r="12" spans="1:17" s="303" customFormat="1" ht="14.1" customHeight="1" x14ac:dyDescent="0.15">
      <c r="B12" s="293"/>
      <c r="C12" s="293"/>
      <c r="D12" s="305"/>
      <c r="E12" s="223"/>
      <c r="F12" s="223"/>
      <c r="G12" s="223"/>
      <c r="H12" s="306" t="s">
        <v>407</v>
      </c>
      <c r="I12" s="307"/>
      <c r="J12" s="308"/>
      <c r="K12" s="309"/>
      <c r="L12" s="310"/>
      <c r="M12" s="311"/>
      <c r="N12" s="310"/>
      <c r="O12" s="302">
        <f>SUM(O39)</f>
        <v>26932000</v>
      </c>
      <c r="P12" s="579"/>
      <c r="Q12" s="443"/>
    </row>
    <row r="13" spans="1:17" s="303" customFormat="1" ht="13.5" customHeight="1" x14ac:dyDescent="0.15">
      <c r="A13" s="293"/>
      <c r="B13" s="293"/>
      <c r="C13" s="293"/>
      <c r="D13" s="312"/>
      <c r="E13" s="223"/>
      <c r="F13" s="223"/>
      <c r="G13" s="223">
        <f t="shared" si="0"/>
        <v>0</v>
      </c>
      <c r="H13" s="306" t="s">
        <v>408</v>
      </c>
      <c r="I13" s="297"/>
      <c r="J13" s="298"/>
      <c r="K13" s="299"/>
      <c r="L13" s="300"/>
      <c r="M13" s="301"/>
      <c r="N13" s="300"/>
      <c r="O13" s="302">
        <f>SUM(O14:O38)</f>
        <v>470672160</v>
      </c>
      <c r="P13" s="579"/>
      <c r="Q13" s="443"/>
    </row>
    <row r="14" spans="1:17" s="303" customFormat="1" ht="13.5" customHeight="1" x14ac:dyDescent="0.15">
      <c r="A14" s="293"/>
      <c r="B14" s="293"/>
      <c r="C14" s="293"/>
      <c r="D14" s="293"/>
      <c r="E14" s="223"/>
      <c r="F14" s="223"/>
      <c r="G14" s="223">
        <f t="shared" si="0"/>
        <v>0</v>
      </c>
      <c r="H14" s="152" t="s">
        <v>344</v>
      </c>
      <c r="I14" s="153">
        <v>4702000</v>
      </c>
      <c r="J14" s="228" t="s">
        <v>100</v>
      </c>
      <c r="K14" s="229" t="s">
        <v>101</v>
      </c>
      <c r="L14" s="230" t="s">
        <v>102</v>
      </c>
      <c r="M14" s="231">
        <v>10</v>
      </c>
      <c r="N14" s="230" t="s">
        <v>103</v>
      </c>
      <c r="O14" s="158">
        <f t="shared" ref="O14:O18" si="1">SUM(I14*K14*M14)</f>
        <v>47020000</v>
      </c>
      <c r="P14" s="580" t="s">
        <v>514</v>
      </c>
      <c r="Q14" s="572"/>
    </row>
    <row r="15" spans="1:17" s="303" customFormat="1" ht="13.5" customHeight="1" x14ac:dyDescent="0.15">
      <c r="A15" s="293"/>
      <c r="B15" s="293"/>
      <c r="C15" s="293"/>
      <c r="D15" s="293"/>
      <c r="E15" s="223"/>
      <c r="F15" s="223"/>
      <c r="G15" s="223">
        <f t="shared" si="0"/>
        <v>0</v>
      </c>
      <c r="H15" s="152" t="s">
        <v>345</v>
      </c>
      <c r="I15" s="153">
        <v>4754000</v>
      </c>
      <c r="J15" s="228" t="s">
        <v>100</v>
      </c>
      <c r="K15" s="229" t="s">
        <v>101</v>
      </c>
      <c r="L15" s="230" t="s">
        <v>102</v>
      </c>
      <c r="M15" s="231">
        <v>2</v>
      </c>
      <c r="N15" s="230" t="s">
        <v>103</v>
      </c>
      <c r="O15" s="158">
        <f>SUM(I15*K15*M15)</f>
        <v>9508000</v>
      </c>
      <c r="P15" s="580" t="s">
        <v>514</v>
      </c>
      <c r="Q15" s="572"/>
    </row>
    <row r="16" spans="1:17" s="303" customFormat="1" ht="13.5" customHeight="1" x14ac:dyDescent="0.15">
      <c r="A16" s="293"/>
      <c r="B16" s="293"/>
      <c r="C16" s="293"/>
      <c r="D16" s="293"/>
      <c r="E16" s="223"/>
      <c r="F16" s="223"/>
      <c r="G16" s="223">
        <f t="shared" si="0"/>
        <v>0</v>
      </c>
      <c r="H16" s="152" t="s">
        <v>393</v>
      </c>
      <c r="I16" s="153">
        <v>4017000</v>
      </c>
      <c r="J16" s="228" t="s">
        <v>100</v>
      </c>
      <c r="K16" s="229" t="s">
        <v>101</v>
      </c>
      <c r="L16" s="230" t="s">
        <v>102</v>
      </c>
      <c r="M16" s="231">
        <v>9</v>
      </c>
      <c r="N16" s="230" t="s">
        <v>103</v>
      </c>
      <c r="O16" s="158">
        <f t="shared" si="1"/>
        <v>36153000</v>
      </c>
      <c r="P16" s="580" t="s">
        <v>515</v>
      </c>
      <c r="Q16" s="572"/>
    </row>
    <row r="17" spans="1:18" s="303" customFormat="1" ht="13.5" customHeight="1" x14ac:dyDescent="0.15">
      <c r="A17" s="293"/>
      <c r="B17" s="293"/>
      <c r="C17" s="293"/>
      <c r="D17" s="293"/>
      <c r="E17" s="223"/>
      <c r="F17" s="223"/>
      <c r="G17" s="223">
        <f t="shared" si="0"/>
        <v>0</v>
      </c>
      <c r="H17" s="152" t="s">
        <v>343</v>
      </c>
      <c r="I17" s="153">
        <v>4074000</v>
      </c>
      <c r="J17" s="228" t="s">
        <v>100</v>
      </c>
      <c r="K17" s="229" t="s">
        <v>101</v>
      </c>
      <c r="L17" s="230" t="s">
        <v>102</v>
      </c>
      <c r="M17" s="231">
        <v>3</v>
      </c>
      <c r="N17" s="230" t="s">
        <v>103</v>
      </c>
      <c r="O17" s="158">
        <f>SUM(I17*K17*M17)</f>
        <v>12222000</v>
      </c>
      <c r="P17" s="580" t="s">
        <v>580</v>
      </c>
      <c r="Q17" s="572"/>
    </row>
    <row r="18" spans="1:18" s="303" customFormat="1" ht="13.5" customHeight="1" x14ac:dyDescent="0.15">
      <c r="A18" s="293"/>
      <c r="B18" s="293"/>
      <c r="C18" s="293"/>
      <c r="D18" s="312"/>
      <c r="E18" s="223"/>
      <c r="F18" s="223"/>
      <c r="G18" s="223">
        <f t="shared" si="0"/>
        <v>0</v>
      </c>
      <c r="H18" s="144" t="s">
        <v>346</v>
      </c>
      <c r="I18" s="153">
        <v>2999000</v>
      </c>
      <c r="J18" s="228" t="s">
        <v>100</v>
      </c>
      <c r="K18" s="229" t="s">
        <v>101</v>
      </c>
      <c r="L18" s="230" t="s">
        <v>102</v>
      </c>
      <c r="M18" s="231">
        <v>3</v>
      </c>
      <c r="N18" s="230" t="s">
        <v>103</v>
      </c>
      <c r="O18" s="158">
        <f t="shared" si="1"/>
        <v>8997000</v>
      </c>
      <c r="P18" s="580" t="s">
        <v>517</v>
      </c>
      <c r="Q18" s="572" t="s">
        <v>583</v>
      </c>
    </row>
    <row r="19" spans="1:18" s="303" customFormat="1" ht="13.5" customHeight="1" x14ac:dyDescent="0.15">
      <c r="A19" s="293"/>
      <c r="B19" s="293"/>
      <c r="C19" s="293"/>
      <c r="D19" s="312"/>
      <c r="E19" s="223"/>
      <c r="F19" s="223"/>
      <c r="G19" s="223">
        <f t="shared" si="0"/>
        <v>0</v>
      </c>
      <c r="H19" s="144" t="s">
        <v>347</v>
      </c>
      <c r="I19" s="153">
        <v>3045000</v>
      </c>
      <c r="J19" s="228" t="s">
        <v>100</v>
      </c>
      <c r="K19" s="229" t="s">
        <v>101</v>
      </c>
      <c r="L19" s="230" t="s">
        <v>102</v>
      </c>
      <c r="M19" s="231">
        <v>9</v>
      </c>
      <c r="N19" s="230" t="s">
        <v>103</v>
      </c>
      <c r="O19" s="158">
        <f t="shared" ref="O19" si="2">SUM(I19*K19*M19)</f>
        <v>27405000</v>
      </c>
      <c r="P19" s="580" t="s">
        <v>517</v>
      </c>
      <c r="Q19" s="572"/>
    </row>
    <row r="20" spans="1:18" s="303" customFormat="1" ht="13.5" customHeight="1" x14ac:dyDescent="0.15">
      <c r="A20" s="293"/>
      <c r="B20" s="293"/>
      <c r="C20" s="293"/>
      <c r="D20" s="312"/>
      <c r="E20" s="223"/>
      <c r="F20" s="223"/>
      <c r="G20" s="223">
        <f t="shared" si="0"/>
        <v>0</v>
      </c>
      <c r="H20" s="144" t="s">
        <v>489</v>
      </c>
      <c r="I20" s="153">
        <v>3488000</v>
      </c>
      <c r="J20" s="228" t="s">
        <v>100</v>
      </c>
      <c r="K20" s="229" t="s">
        <v>101</v>
      </c>
      <c r="L20" s="230" t="s">
        <v>102</v>
      </c>
      <c r="M20" s="231">
        <v>4</v>
      </c>
      <c r="N20" s="230" t="s">
        <v>103</v>
      </c>
      <c r="O20" s="158">
        <f>SUM(I20*K20*M20)</f>
        <v>13952000</v>
      </c>
      <c r="P20" s="580" t="s">
        <v>516</v>
      </c>
      <c r="Q20" s="572" t="s">
        <v>583</v>
      </c>
      <c r="R20" s="303" t="s">
        <v>584</v>
      </c>
    </row>
    <row r="21" spans="1:18" s="303" customFormat="1" ht="13.5" customHeight="1" x14ac:dyDescent="0.15">
      <c r="A21" s="293"/>
      <c r="B21" s="293"/>
      <c r="C21" s="293"/>
      <c r="D21" s="312"/>
      <c r="E21" s="223"/>
      <c r="F21" s="223"/>
      <c r="G21" s="223">
        <f t="shared" si="0"/>
        <v>0</v>
      </c>
      <c r="H21" s="144" t="s">
        <v>491</v>
      </c>
      <c r="I21" s="153">
        <v>3559000</v>
      </c>
      <c r="J21" s="228" t="s">
        <v>100</v>
      </c>
      <c r="K21" s="229" t="s">
        <v>101</v>
      </c>
      <c r="L21" s="230" t="s">
        <v>102</v>
      </c>
      <c r="M21" s="231">
        <v>8</v>
      </c>
      <c r="N21" s="230" t="s">
        <v>103</v>
      </c>
      <c r="O21" s="158">
        <f>SUM(I21*K21*M21)</f>
        <v>28472000</v>
      </c>
      <c r="P21" s="580" t="s">
        <v>516</v>
      </c>
      <c r="Q21" s="572"/>
    </row>
    <row r="22" spans="1:18" s="303" customFormat="1" ht="13.5" customHeight="1" x14ac:dyDescent="0.15">
      <c r="A22" s="293"/>
      <c r="B22" s="293"/>
      <c r="C22" s="293"/>
      <c r="D22" s="312"/>
      <c r="E22" s="223"/>
      <c r="F22" s="223"/>
      <c r="G22" s="223">
        <f t="shared" si="0"/>
        <v>0</v>
      </c>
      <c r="H22" s="144" t="s">
        <v>348</v>
      </c>
      <c r="I22" s="153">
        <v>3206000</v>
      </c>
      <c r="J22" s="228" t="s">
        <v>100</v>
      </c>
      <c r="K22" s="229" t="s">
        <v>101</v>
      </c>
      <c r="L22" s="230" t="s">
        <v>102</v>
      </c>
      <c r="M22" s="231">
        <v>7</v>
      </c>
      <c r="N22" s="230" t="s">
        <v>103</v>
      </c>
      <c r="O22" s="158">
        <f>SUM(I22*K22*M22)</f>
        <v>22442000</v>
      </c>
      <c r="P22" s="580" t="s">
        <v>581</v>
      </c>
      <c r="Q22" s="572" t="s">
        <v>583</v>
      </c>
    </row>
    <row r="23" spans="1:18" s="303" customFormat="1" ht="13.5" customHeight="1" x14ac:dyDescent="0.15">
      <c r="A23" s="293"/>
      <c r="B23" s="293"/>
      <c r="C23" s="293"/>
      <c r="D23" s="312"/>
      <c r="E23" s="223"/>
      <c r="F23" s="223"/>
      <c r="G23" s="223">
        <f t="shared" si="0"/>
        <v>0</v>
      </c>
      <c r="H23" s="144" t="s">
        <v>349</v>
      </c>
      <c r="I23" s="153">
        <v>3271000</v>
      </c>
      <c r="J23" s="228" t="s">
        <v>100</v>
      </c>
      <c r="K23" s="229" t="s">
        <v>101</v>
      </c>
      <c r="L23" s="230" t="s">
        <v>102</v>
      </c>
      <c r="M23" s="231">
        <v>5</v>
      </c>
      <c r="N23" s="230" t="s">
        <v>103</v>
      </c>
      <c r="O23" s="158">
        <f t="shared" ref="O23:O37" si="3">SUM(I23*K23*M23)</f>
        <v>16355000</v>
      </c>
      <c r="P23" s="580" t="s">
        <v>581</v>
      </c>
      <c r="Q23" s="572"/>
    </row>
    <row r="24" spans="1:18" s="303" customFormat="1" ht="13.5" customHeight="1" x14ac:dyDescent="0.15">
      <c r="A24" s="293"/>
      <c r="B24" s="293"/>
      <c r="C24" s="293"/>
      <c r="D24" s="312"/>
      <c r="E24" s="223"/>
      <c r="F24" s="223"/>
      <c r="G24" s="223">
        <f t="shared" si="0"/>
        <v>0</v>
      </c>
      <c r="H24" s="144" t="s">
        <v>218</v>
      </c>
      <c r="I24" s="153">
        <v>2598720</v>
      </c>
      <c r="J24" s="228" t="s">
        <v>100</v>
      </c>
      <c r="K24" s="229" t="s">
        <v>101</v>
      </c>
      <c r="L24" s="230" t="s">
        <v>102</v>
      </c>
      <c r="M24" s="231">
        <v>6</v>
      </c>
      <c r="N24" s="230" t="s">
        <v>103</v>
      </c>
      <c r="O24" s="158">
        <f t="shared" si="3"/>
        <v>15592320</v>
      </c>
      <c r="P24" s="580" t="s">
        <v>524</v>
      </c>
      <c r="Q24" s="572" t="s">
        <v>585</v>
      </c>
    </row>
    <row r="25" spans="1:18" s="303" customFormat="1" ht="13.5" customHeight="1" x14ac:dyDescent="0.15">
      <c r="A25" s="293"/>
      <c r="B25" s="293"/>
      <c r="C25" s="293"/>
      <c r="D25" s="312"/>
      <c r="E25" s="223"/>
      <c r="F25" s="223"/>
      <c r="G25" s="223"/>
      <c r="H25" s="144" t="s">
        <v>350</v>
      </c>
      <c r="I25" s="153">
        <v>2673190</v>
      </c>
      <c r="J25" s="228" t="s">
        <v>100</v>
      </c>
      <c r="K25" s="229" t="s">
        <v>101</v>
      </c>
      <c r="L25" s="230" t="s">
        <v>102</v>
      </c>
      <c r="M25" s="231">
        <v>6</v>
      </c>
      <c r="N25" s="230" t="s">
        <v>103</v>
      </c>
      <c r="O25" s="158">
        <f t="shared" ref="O25" si="4">SUM(I25*K25*M25)</f>
        <v>16039140</v>
      </c>
      <c r="P25" s="580" t="s">
        <v>524</v>
      </c>
      <c r="Q25" s="572"/>
    </row>
    <row r="26" spans="1:18" s="303" customFormat="1" ht="13.5" customHeight="1" x14ac:dyDescent="0.15">
      <c r="A26" s="293"/>
      <c r="B26" s="293"/>
      <c r="C26" s="293"/>
      <c r="D26" s="312"/>
      <c r="E26" s="223"/>
      <c r="F26" s="223"/>
      <c r="G26" s="223">
        <f t="shared" si="0"/>
        <v>0</v>
      </c>
      <c r="H26" s="144" t="s">
        <v>351</v>
      </c>
      <c r="I26" s="153">
        <v>2311000</v>
      </c>
      <c r="J26" s="228" t="s">
        <v>100</v>
      </c>
      <c r="K26" s="229" t="s">
        <v>101</v>
      </c>
      <c r="L26" s="230" t="s">
        <v>102</v>
      </c>
      <c r="M26" s="231">
        <v>11</v>
      </c>
      <c r="N26" s="230" t="s">
        <v>103</v>
      </c>
      <c r="O26" s="158">
        <f t="shared" si="3"/>
        <v>25421000</v>
      </c>
      <c r="P26" s="580" t="s">
        <v>522</v>
      </c>
      <c r="Q26" s="572" t="s">
        <v>585</v>
      </c>
    </row>
    <row r="27" spans="1:18" s="303" customFormat="1" ht="13.5" customHeight="1" x14ac:dyDescent="0.15">
      <c r="A27" s="293"/>
      <c r="B27" s="293"/>
      <c r="C27" s="293"/>
      <c r="D27" s="312"/>
      <c r="E27" s="223"/>
      <c r="F27" s="223"/>
      <c r="G27" s="223"/>
      <c r="H27" s="144" t="s">
        <v>352</v>
      </c>
      <c r="I27" s="153">
        <v>2383000</v>
      </c>
      <c r="J27" s="228" t="s">
        <v>100</v>
      </c>
      <c r="K27" s="229" t="s">
        <v>101</v>
      </c>
      <c r="L27" s="230" t="s">
        <v>102</v>
      </c>
      <c r="M27" s="231">
        <v>1</v>
      </c>
      <c r="N27" s="230" t="s">
        <v>103</v>
      </c>
      <c r="O27" s="158">
        <f t="shared" si="3"/>
        <v>2383000</v>
      </c>
      <c r="P27" s="580" t="s">
        <v>522</v>
      </c>
      <c r="Q27" s="572"/>
    </row>
    <row r="28" spans="1:18" s="303" customFormat="1" ht="13.5" customHeight="1" x14ac:dyDescent="0.15">
      <c r="A28" s="293"/>
      <c r="B28" s="293"/>
      <c r="C28" s="293"/>
      <c r="D28" s="312"/>
      <c r="E28" s="223"/>
      <c r="F28" s="223"/>
      <c r="G28" s="223">
        <f t="shared" si="0"/>
        <v>0</v>
      </c>
      <c r="H28" s="144" t="s">
        <v>479</v>
      </c>
      <c r="I28" s="153">
        <v>2810000</v>
      </c>
      <c r="J28" s="228" t="s">
        <v>100</v>
      </c>
      <c r="K28" s="229" t="s">
        <v>101</v>
      </c>
      <c r="L28" s="230" t="s">
        <v>102</v>
      </c>
      <c r="M28" s="231">
        <v>6</v>
      </c>
      <c r="N28" s="230" t="s">
        <v>103</v>
      </c>
      <c r="O28" s="158">
        <f t="shared" si="3"/>
        <v>16860000</v>
      </c>
      <c r="P28" s="580" t="s">
        <v>519</v>
      </c>
      <c r="Q28" s="572" t="s">
        <v>583</v>
      </c>
      <c r="R28" s="572" t="s">
        <v>582</v>
      </c>
    </row>
    <row r="29" spans="1:18" s="303" customFormat="1" ht="13.5" customHeight="1" x14ac:dyDescent="0.15">
      <c r="A29" s="293"/>
      <c r="B29" s="293"/>
      <c r="C29" s="293"/>
      <c r="D29" s="312"/>
      <c r="E29" s="223"/>
      <c r="F29" s="223"/>
      <c r="G29" s="223"/>
      <c r="H29" s="144" t="s">
        <v>481</v>
      </c>
      <c r="I29" s="153">
        <v>2906000</v>
      </c>
      <c r="J29" s="228" t="s">
        <v>100</v>
      </c>
      <c r="K29" s="229" t="s">
        <v>101</v>
      </c>
      <c r="L29" s="230" t="s">
        <v>102</v>
      </c>
      <c r="M29" s="231">
        <v>6</v>
      </c>
      <c r="N29" s="230" t="s">
        <v>103</v>
      </c>
      <c r="O29" s="158">
        <f t="shared" ref="O29" si="5">SUM(I29*K29*M29)</f>
        <v>17436000</v>
      </c>
      <c r="P29" s="580" t="s">
        <v>519</v>
      </c>
      <c r="Q29" s="572"/>
    </row>
    <row r="30" spans="1:18" s="303" customFormat="1" ht="13.5" customHeight="1" x14ac:dyDescent="0.15">
      <c r="A30" s="293"/>
      <c r="B30" s="293"/>
      <c r="C30" s="293"/>
      <c r="D30" s="312"/>
      <c r="E30" s="223"/>
      <c r="F30" s="223"/>
      <c r="G30" s="223">
        <f t="shared" si="0"/>
        <v>0</v>
      </c>
      <c r="H30" s="144" t="s">
        <v>217</v>
      </c>
      <c r="I30" s="153">
        <v>2383000</v>
      </c>
      <c r="J30" s="228" t="s">
        <v>100</v>
      </c>
      <c r="K30" s="229" t="s">
        <v>101</v>
      </c>
      <c r="L30" s="230" t="s">
        <v>102</v>
      </c>
      <c r="M30" s="231">
        <v>12</v>
      </c>
      <c r="N30" s="230" t="s">
        <v>103</v>
      </c>
      <c r="O30" s="158">
        <f t="shared" si="3"/>
        <v>28596000</v>
      </c>
      <c r="P30" s="580" t="s">
        <v>520</v>
      </c>
      <c r="Q30" s="572" t="s">
        <v>585</v>
      </c>
    </row>
    <row r="31" spans="1:18" s="303" customFormat="1" ht="13.5" customHeight="1" x14ac:dyDescent="0.15">
      <c r="A31" s="293"/>
      <c r="B31" s="293"/>
      <c r="C31" s="293"/>
      <c r="D31" s="312"/>
      <c r="E31" s="223"/>
      <c r="F31" s="223"/>
      <c r="G31" s="223">
        <f t="shared" si="0"/>
        <v>0</v>
      </c>
      <c r="H31" s="144" t="s">
        <v>353</v>
      </c>
      <c r="I31" s="153">
        <v>2539000</v>
      </c>
      <c r="J31" s="228" t="s">
        <v>100</v>
      </c>
      <c r="K31" s="229" t="s">
        <v>101</v>
      </c>
      <c r="L31" s="230" t="s">
        <v>102</v>
      </c>
      <c r="M31" s="231">
        <v>7</v>
      </c>
      <c r="N31" s="230" t="s">
        <v>103</v>
      </c>
      <c r="O31" s="158">
        <f t="shared" si="3"/>
        <v>17773000</v>
      </c>
      <c r="P31" s="580" t="s">
        <v>526</v>
      </c>
      <c r="Q31" s="572" t="s">
        <v>585</v>
      </c>
      <c r="R31" s="572" t="s">
        <v>586</v>
      </c>
    </row>
    <row r="32" spans="1:18" s="303" customFormat="1" ht="13.5" customHeight="1" x14ac:dyDescent="0.15">
      <c r="A32" s="293"/>
      <c r="B32" s="293"/>
      <c r="C32" s="293"/>
      <c r="D32" s="312"/>
      <c r="E32" s="223"/>
      <c r="F32" s="223"/>
      <c r="G32" s="223">
        <f t="shared" si="0"/>
        <v>0</v>
      </c>
      <c r="H32" s="144" t="s">
        <v>354</v>
      </c>
      <c r="I32" s="153">
        <v>2633000</v>
      </c>
      <c r="J32" s="228" t="s">
        <v>100</v>
      </c>
      <c r="K32" s="229" t="s">
        <v>101</v>
      </c>
      <c r="L32" s="230" t="s">
        <v>102</v>
      </c>
      <c r="M32" s="231">
        <v>5</v>
      </c>
      <c r="N32" s="230" t="s">
        <v>103</v>
      </c>
      <c r="O32" s="158">
        <f t="shared" si="3"/>
        <v>13165000</v>
      </c>
      <c r="P32" s="580" t="s">
        <v>526</v>
      </c>
      <c r="Q32" s="572"/>
    </row>
    <row r="33" spans="1:18" s="303" customFormat="1" ht="13.5" customHeight="1" x14ac:dyDescent="0.15">
      <c r="A33" s="293"/>
      <c r="B33" s="293"/>
      <c r="C33" s="293"/>
      <c r="D33" s="312"/>
      <c r="E33" s="223"/>
      <c r="F33" s="223"/>
      <c r="G33" s="223">
        <f t="shared" si="0"/>
        <v>0</v>
      </c>
      <c r="H33" s="144" t="s">
        <v>355</v>
      </c>
      <c r="I33" s="153">
        <v>2633000</v>
      </c>
      <c r="J33" s="228" t="s">
        <v>100</v>
      </c>
      <c r="K33" s="229" t="s">
        <v>101</v>
      </c>
      <c r="L33" s="230" t="s">
        <v>102</v>
      </c>
      <c r="M33" s="231">
        <v>11</v>
      </c>
      <c r="N33" s="230" t="s">
        <v>103</v>
      </c>
      <c r="O33" s="158">
        <f t="shared" si="3"/>
        <v>28963000</v>
      </c>
      <c r="P33" s="580" t="s">
        <v>523</v>
      </c>
      <c r="Q33" s="572" t="s">
        <v>585</v>
      </c>
    </row>
    <row r="34" spans="1:18" s="303" customFormat="1" ht="13.5" customHeight="1" x14ac:dyDescent="0.15">
      <c r="A34" s="293"/>
      <c r="B34" s="293"/>
      <c r="C34" s="293"/>
      <c r="D34" s="312"/>
      <c r="E34" s="223"/>
      <c r="F34" s="223"/>
      <c r="G34" s="223"/>
      <c r="H34" s="144" t="s">
        <v>356</v>
      </c>
      <c r="I34" s="153">
        <v>2674000</v>
      </c>
      <c r="J34" s="228" t="s">
        <v>100</v>
      </c>
      <c r="K34" s="229" t="s">
        <v>101</v>
      </c>
      <c r="L34" s="230" t="s">
        <v>102</v>
      </c>
      <c r="M34" s="231">
        <v>1</v>
      </c>
      <c r="N34" s="230" t="s">
        <v>103</v>
      </c>
      <c r="O34" s="158">
        <f t="shared" ref="O34" si="6">SUM(I34*K34*M34)</f>
        <v>2674000</v>
      </c>
      <c r="P34" s="580" t="s">
        <v>523</v>
      </c>
      <c r="Q34" s="572"/>
    </row>
    <row r="35" spans="1:18" s="303" customFormat="1" ht="13.5" customHeight="1" x14ac:dyDescent="0.15">
      <c r="A35" s="293"/>
      <c r="B35" s="293"/>
      <c r="C35" s="293"/>
      <c r="D35" s="312"/>
      <c r="E35" s="223"/>
      <c r="F35" s="223"/>
      <c r="G35" s="223">
        <f t="shared" si="0"/>
        <v>0</v>
      </c>
      <c r="H35" s="144" t="s">
        <v>357</v>
      </c>
      <c r="I35" s="153">
        <v>2638000</v>
      </c>
      <c r="J35" s="228" t="s">
        <v>100</v>
      </c>
      <c r="K35" s="229" t="s">
        <v>101</v>
      </c>
      <c r="L35" s="230" t="s">
        <v>102</v>
      </c>
      <c r="M35" s="231">
        <v>11</v>
      </c>
      <c r="N35" s="230" t="s">
        <v>103</v>
      </c>
      <c r="O35" s="158">
        <f t="shared" si="3"/>
        <v>29018000</v>
      </c>
      <c r="P35" s="580" t="s">
        <v>518</v>
      </c>
      <c r="Q35" s="572" t="s">
        <v>587</v>
      </c>
      <c r="R35" s="572" t="s">
        <v>589</v>
      </c>
    </row>
    <row r="36" spans="1:18" s="303" customFormat="1" ht="13.5" customHeight="1" x14ac:dyDescent="0.15">
      <c r="A36" s="293"/>
      <c r="B36" s="293"/>
      <c r="C36" s="293"/>
      <c r="D36" s="312"/>
      <c r="E36" s="223"/>
      <c r="F36" s="223"/>
      <c r="G36" s="223">
        <f t="shared" si="0"/>
        <v>0</v>
      </c>
      <c r="H36" s="144" t="s">
        <v>358</v>
      </c>
      <c r="I36" s="153">
        <v>2687000</v>
      </c>
      <c r="J36" s="228" t="s">
        <v>100</v>
      </c>
      <c r="K36" s="229" t="s">
        <v>101</v>
      </c>
      <c r="L36" s="230" t="s">
        <v>102</v>
      </c>
      <c r="M36" s="231">
        <v>1</v>
      </c>
      <c r="N36" s="230" t="s">
        <v>103</v>
      </c>
      <c r="O36" s="158">
        <f t="shared" si="3"/>
        <v>2687000</v>
      </c>
      <c r="P36" s="580" t="s">
        <v>518</v>
      </c>
      <c r="Q36" s="572"/>
    </row>
    <row r="37" spans="1:18" s="303" customFormat="1" ht="13.5" customHeight="1" x14ac:dyDescent="0.15">
      <c r="A37" s="293"/>
      <c r="B37" s="293"/>
      <c r="C37" s="293"/>
      <c r="D37" s="312"/>
      <c r="E37" s="223"/>
      <c r="F37" s="223"/>
      <c r="G37" s="223">
        <f t="shared" si="0"/>
        <v>0</v>
      </c>
      <c r="H37" s="144" t="s">
        <v>359</v>
      </c>
      <c r="I37" s="153">
        <v>2589000</v>
      </c>
      <c r="J37" s="228" t="s">
        <v>100</v>
      </c>
      <c r="K37" s="229" t="s">
        <v>101</v>
      </c>
      <c r="L37" s="230" t="s">
        <v>102</v>
      </c>
      <c r="M37" s="231">
        <v>2</v>
      </c>
      <c r="N37" s="230" t="s">
        <v>103</v>
      </c>
      <c r="O37" s="158">
        <f t="shared" si="3"/>
        <v>5178000</v>
      </c>
      <c r="P37" s="580" t="s">
        <v>525</v>
      </c>
      <c r="Q37" s="572" t="s">
        <v>588</v>
      </c>
    </row>
    <row r="38" spans="1:18" s="303" customFormat="1" ht="13.5" customHeight="1" x14ac:dyDescent="0.15">
      <c r="A38" s="293"/>
      <c r="B38" s="293"/>
      <c r="C38" s="293"/>
      <c r="D38" s="313"/>
      <c r="E38" s="223"/>
      <c r="F38" s="223"/>
      <c r="G38" s="223">
        <f t="shared" si="0"/>
        <v>0</v>
      </c>
      <c r="H38" s="144" t="s">
        <v>360</v>
      </c>
      <c r="I38" s="153">
        <v>2638000</v>
      </c>
      <c r="J38" s="228" t="s">
        <v>100</v>
      </c>
      <c r="K38" s="229" t="s">
        <v>101</v>
      </c>
      <c r="L38" s="230" t="s">
        <v>102</v>
      </c>
      <c r="M38" s="231">
        <v>10</v>
      </c>
      <c r="N38" s="230" t="s">
        <v>103</v>
      </c>
      <c r="O38" s="158">
        <f>SUM(I38*K38*M38)-19300</f>
        <v>26360700</v>
      </c>
      <c r="P38" s="580" t="s">
        <v>525</v>
      </c>
      <c r="Q38" s="572"/>
    </row>
    <row r="39" spans="1:18" s="303" customFormat="1" ht="13.5" customHeight="1" x14ac:dyDescent="0.15">
      <c r="A39" s="293"/>
      <c r="B39" s="293"/>
      <c r="C39" s="293"/>
      <c r="D39" s="312"/>
      <c r="E39" s="223"/>
      <c r="F39" s="223"/>
      <c r="G39" s="223">
        <f t="shared" ref="G39:G41" si="7">F39-E39</f>
        <v>0</v>
      </c>
      <c r="H39" s="232" t="s">
        <v>409</v>
      </c>
      <c r="I39" s="164"/>
      <c r="J39" s="233"/>
      <c r="K39" s="234"/>
      <c r="L39" s="235"/>
      <c r="M39" s="236"/>
      <c r="N39" s="235"/>
      <c r="O39" s="168">
        <f>SUM(O40:O41)</f>
        <v>26932000</v>
      </c>
      <c r="P39" s="579"/>
      <c r="Q39" s="443"/>
    </row>
    <row r="40" spans="1:18" s="303" customFormat="1" ht="13.5" customHeight="1" x14ac:dyDescent="0.15">
      <c r="A40" s="293"/>
      <c r="B40" s="293"/>
      <c r="C40" s="293"/>
      <c r="D40" s="293"/>
      <c r="E40" s="223"/>
      <c r="F40" s="223"/>
      <c r="G40" s="223">
        <f t="shared" si="7"/>
        <v>0</v>
      </c>
      <c r="H40" s="144" t="s">
        <v>486</v>
      </c>
      <c r="I40" s="153">
        <v>2231000</v>
      </c>
      <c r="J40" s="228" t="s">
        <v>100</v>
      </c>
      <c r="K40" s="229" t="s">
        <v>101</v>
      </c>
      <c r="L40" s="230" t="s">
        <v>102</v>
      </c>
      <c r="M40" s="231">
        <v>10</v>
      </c>
      <c r="N40" s="230" t="s">
        <v>103</v>
      </c>
      <c r="O40" s="158">
        <f t="shared" ref="O40" si="8">SUM(I40*K40*M40)</f>
        <v>22310000</v>
      </c>
      <c r="P40" s="580" t="s">
        <v>521</v>
      </c>
      <c r="Q40" s="443" t="s">
        <v>585</v>
      </c>
    </row>
    <row r="41" spans="1:18" s="303" customFormat="1" ht="13.5" customHeight="1" x14ac:dyDescent="0.15">
      <c r="A41" s="293"/>
      <c r="B41" s="293"/>
      <c r="C41" s="293"/>
      <c r="D41" s="293"/>
      <c r="E41" s="223"/>
      <c r="F41" s="223"/>
      <c r="G41" s="223">
        <f t="shared" si="7"/>
        <v>0</v>
      </c>
      <c r="H41" s="144" t="s">
        <v>487</v>
      </c>
      <c r="I41" s="153">
        <v>2311000</v>
      </c>
      <c r="J41" s="228" t="s">
        <v>100</v>
      </c>
      <c r="K41" s="229" t="s">
        <v>101</v>
      </c>
      <c r="L41" s="230" t="s">
        <v>102</v>
      </c>
      <c r="M41" s="231">
        <v>2</v>
      </c>
      <c r="N41" s="230" t="s">
        <v>103</v>
      </c>
      <c r="O41" s="158">
        <f>SUM(I41*K41*M41)</f>
        <v>4622000</v>
      </c>
      <c r="P41" s="580" t="s">
        <v>521</v>
      </c>
      <c r="Q41" s="443"/>
    </row>
    <row r="42" spans="1:18" s="303" customFormat="1" ht="14.1" customHeight="1" x14ac:dyDescent="0.15">
      <c r="A42" s="293"/>
      <c r="B42" s="293"/>
      <c r="C42" s="293"/>
      <c r="D42" s="613" t="s">
        <v>107</v>
      </c>
      <c r="E42" s="612">
        <v>325631</v>
      </c>
      <c r="F42" s="614">
        <f>O42/1000</f>
        <v>276863.40000000002</v>
      </c>
      <c r="G42" s="612">
        <f t="shared" si="0"/>
        <v>-48767.599999999977</v>
      </c>
      <c r="H42" s="590" t="s">
        <v>590</v>
      </c>
      <c r="I42" s="185"/>
      <c r="J42" s="314"/>
      <c r="K42" s="315"/>
      <c r="L42" s="316"/>
      <c r="M42" s="317"/>
      <c r="N42" s="316"/>
      <c r="O42" s="209">
        <f>SUM(O43,O47)</f>
        <v>276863400</v>
      </c>
      <c r="P42" s="581"/>
      <c r="Q42" s="443"/>
    </row>
    <row r="43" spans="1:18" s="303" customFormat="1" ht="14.1" customHeight="1" x14ac:dyDescent="0.15">
      <c r="A43" s="293"/>
      <c r="B43" s="293"/>
      <c r="C43" s="293"/>
      <c r="D43" s="312"/>
      <c r="E43" s="223"/>
      <c r="F43" s="223"/>
      <c r="G43" s="223">
        <f t="shared" si="0"/>
        <v>0</v>
      </c>
      <c r="H43" s="594" t="s">
        <v>591</v>
      </c>
      <c r="I43" s="145" t="s">
        <v>592</v>
      </c>
      <c r="J43" s="217" t="s">
        <v>593</v>
      </c>
      <c r="K43" s="217" t="s">
        <v>594</v>
      </c>
      <c r="L43" s="217"/>
      <c r="M43" s="217" t="s">
        <v>595</v>
      </c>
      <c r="N43" s="318"/>
      <c r="O43" s="141">
        <f>SUM(O44:O46)</f>
        <v>0</v>
      </c>
      <c r="P43" s="579"/>
      <c r="Q43" s="443"/>
    </row>
    <row r="44" spans="1:18" s="303" customFormat="1" ht="14.1" customHeight="1" x14ac:dyDescent="0.15">
      <c r="A44" s="293"/>
      <c r="B44" s="293"/>
      <c r="C44" s="293"/>
      <c r="D44" s="312"/>
      <c r="E44" s="223"/>
      <c r="F44" s="223"/>
      <c r="G44" s="223">
        <f t="shared" si="0"/>
        <v>0</v>
      </c>
      <c r="H44" s="592" t="s">
        <v>596</v>
      </c>
      <c r="I44" s="145">
        <v>8470</v>
      </c>
      <c r="J44" s="217">
        <v>232</v>
      </c>
      <c r="K44" s="217">
        <v>2</v>
      </c>
      <c r="L44" s="217"/>
      <c r="M44" s="217">
        <v>0</v>
      </c>
      <c r="N44" s="139" t="s">
        <v>597</v>
      </c>
      <c r="O44" s="136">
        <f t="shared" ref="O44:O45" si="9">SUM(I44*J44*K44*M44)</f>
        <v>0</v>
      </c>
      <c r="P44" s="579"/>
      <c r="Q44" s="443"/>
    </row>
    <row r="45" spans="1:18" s="303" customFormat="1" ht="14.1" customHeight="1" x14ac:dyDescent="0.15">
      <c r="A45" s="293"/>
      <c r="B45" s="293"/>
      <c r="C45" s="293"/>
      <c r="D45" s="312"/>
      <c r="E45" s="223"/>
      <c r="F45" s="223"/>
      <c r="G45" s="223">
        <f t="shared" si="0"/>
        <v>0</v>
      </c>
      <c r="H45" s="592" t="s">
        <v>598</v>
      </c>
      <c r="I45" s="145">
        <v>8350</v>
      </c>
      <c r="J45" s="217">
        <v>147</v>
      </c>
      <c r="K45" s="217">
        <v>51</v>
      </c>
      <c r="L45" s="217"/>
      <c r="M45" s="217">
        <v>0</v>
      </c>
      <c r="N45" s="139" t="s">
        <v>599</v>
      </c>
      <c r="O45" s="136">
        <f t="shared" si="9"/>
        <v>0</v>
      </c>
      <c r="P45" s="579"/>
      <c r="Q45" s="443"/>
    </row>
    <row r="46" spans="1:18" s="303" customFormat="1" ht="14.1" customHeight="1" x14ac:dyDescent="0.15">
      <c r="A46" s="293"/>
      <c r="B46" s="293"/>
      <c r="C46" s="293"/>
      <c r="D46" s="312"/>
      <c r="E46" s="223"/>
      <c r="F46" s="223"/>
      <c r="G46" s="223">
        <f t="shared" si="0"/>
        <v>0</v>
      </c>
      <c r="H46" s="592" t="s">
        <v>600</v>
      </c>
      <c r="I46" s="145"/>
      <c r="J46" s="137" t="s">
        <v>601</v>
      </c>
      <c r="K46" s="138"/>
      <c r="L46" s="139" t="s">
        <v>602</v>
      </c>
      <c r="M46" s="140"/>
      <c r="N46" s="139" t="s">
        <v>599</v>
      </c>
      <c r="O46" s="136">
        <f>SUM(I46*K46*M46)</f>
        <v>0</v>
      </c>
      <c r="P46" s="579"/>
      <c r="Q46" s="443"/>
    </row>
    <row r="47" spans="1:18" s="303" customFormat="1" ht="14.1" customHeight="1" x14ac:dyDescent="0.15">
      <c r="A47" s="293"/>
      <c r="B47" s="293"/>
      <c r="C47" s="293"/>
      <c r="D47" s="312"/>
      <c r="E47" s="223"/>
      <c r="F47" s="223"/>
      <c r="G47" s="223">
        <f t="shared" si="0"/>
        <v>0</v>
      </c>
      <c r="H47" s="594" t="s">
        <v>603</v>
      </c>
      <c r="I47" s="145" t="s">
        <v>604</v>
      </c>
      <c r="J47" s="217" t="s">
        <v>605</v>
      </c>
      <c r="K47" s="217" t="s">
        <v>606</v>
      </c>
      <c r="L47" s="217"/>
      <c r="M47" s="217" t="s">
        <v>607</v>
      </c>
      <c r="N47" s="139"/>
      <c r="O47" s="141">
        <f>SUM(O48:O53)</f>
        <v>276863400</v>
      </c>
      <c r="P47" s="579"/>
      <c r="Q47" s="443"/>
    </row>
    <row r="48" spans="1:18" s="303" customFormat="1" ht="14.1" customHeight="1" x14ac:dyDescent="0.15">
      <c r="A48" s="293"/>
      <c r="B48" s="293"/>
      <c r="C48" s="293"/>
      <c r="D48" s="312"/>
      <c r="E48" s="223"/>
      <c r="F48" s="223"/>
      <c r="G48" s="223">
        <f t="shared" si="0"/>
        <v>0</v>
      </c>
      <c r="H48" s="592" t="s">
        <v>608</v>
      </c>
      <c r="I48" s="145">
        <v>11190</v>
      </c>
      <c r="J48" s="217">
        <v>223</v>
      </c>
      <c r="K48" s="217">
        <v>5</v>
      </c>
      <c r="L48" s="217"/>
      <c r="M48" s="217">
        <v>12</v>
      </c>
      <c r="N48" s="139" t="s">
        <v>609</v>
      </c>
      <c r="O48" s="136">
        <f t="shared" ref="O48:O50" si="10">SUM(I48*J48*K48*M48)</f>
        <v>149722200</v>
      </c>
      <c r="P48" s="579"/>
      <c r="Q48" s="443"/>
    </row>
    <row r="49" spans="1:17" s="303" customFormat="1" ht="14.1" customHeight="1" x14ac:dyDescent="0.15">
      <c r="A49" s="293"/>
      <c r="B49" s="293"/>
      <c r="C49" s="293"/>
      <c r="D49" s="312"/>
      <c r="E49" s="223"/>
      <c r="F49" s="223"/>
      <c r="G49" s="223">
        <f t="shared" si="0"/>
        <v>0</v>
      </c>
      <c r="H49" s="592" t="s">
        <v>610</v>
      </c>
      <c r="I49" s="145">
        <v>9900</v>
      </c>
      <c r="J49" s="217">
        <v>223</v>
      </c>
      <c r="K49" s="217">
        <v>3</v>
      </c>
      <c r="L49" s="217"/>
      <c r="M49" s="217">
        <v>12</v>
      </c>
      <c r="N49" s="139" t="s">
        <v>609</v>
      </c>
      <c r="O49" s="136">
        <f t="shared" si="10"/>
        <v>79477200</v>
      </c>
      <c r="P49" s="579"/>
      <c r="Q49" s="443"/>
    </row>
    <row r="50" spans="1:17" s="303" customFormat="1" ht="14.1" customHeight="1" x14ac:dyDescent="0.15">
      <c r="A50" s="293"/>
      <c r="B50" s="293"/>
      <c r="C50" s="293"/>
      <c r="D50" s="312"/>
      <c r="E50" s="223"/>
      <c r="F50" s="223"/>
      <c r="G50" s="223">
        <f t="shared" si="0"/>
        <v>0</v>
      </c>
      <c r="H50" s="592" t="s">
        <v>611</v>
      </c>
      <c r="I50" s="145">
        <v>9600</v>
      </c>
      <c r="J50" s="217">
        <v>160</v>
      </c>
      <c r="K50" s="217">
        <v>2</v>
      </c>
      <c r="L50" s="217"/>
      <c r="M50" s="217">
        <v>12</v>
      </c>
      <c r="N50" s="139" t="s">
        <v>609</v>
      </c>
      <c r="O50" s="136">
        <f t="shared" si="10"/>
        <v>36864000</v>
      </c>
      <c r="P50" s="579"/>
      <c r="Q50" s="443"/>
    </row>
    <row r="51" spans="1:17" s="303" customFormat="1" ht="14.1" customHeight="1" x14ac:dyDescent="0.15">
      <c r="A51" s="293"/>
      <c r="B51" s="293"/>
      <c r="C51" s="293"/>
      <c r="D51" s="312"/>
      <c r="E51" s="223"/>
      <c r="F51" s="223"/>
      <c r="G51" s="223"/>
      <c r="H51" s="592" t="s">
        <v>612</v>
      </c>
      <c r="I51" s="145">
        <v>2800000</v>
      </c>
      <c r="J51" s="137" t="s">
        <v>613</v>
      </c>
      <c r="K51" s="319"/>
      <c r="L51" s="139" t="s">
        <v>614</v>
      </c>
      <c r="M51" s="140">
        <v>12</v>
      </c>
      <c r="N51" s="139" t="s">
        <v>609</v>
      </c>
      <c r="O51" s="136">
        <f>SUM(I51*K51*M51)</f>
        <v>0</v>
      </c>
      <c r="P51" s="579"/>
      <c r="Q51" s="443"/>
    </row>
    <row r="52" spans="1:17" s="303" customFormat="1" ht="14.1" customHeight="1" x14ac:dyDescent="0.15">
      <c r="A52" s="293"/>
      <c r="B52" s="293"/>
      <c r="C52" s="293"/>
      <c r="D52" s="312"/>
      <c r="E52" s="223"/>
      <c r="F52" s="223"/>
      <c r="G52" s="223">
        <f t="shared" si="0"/>
        <v>0</v>
      </c>
      <c r="H52" s="592" t="s">
        <v>615</v>
      </c>
      <c r="I52" s="145">
        <v>300000</v>
      </c>
      <c r="J52" s="137" t="s">
        <v>613</v>
      </c>
      <c r="K52" s="319">
        <v>1</v>
      </c>
      <c r="L52" s="139" t="s">
        <v>614</v>
      </c>
      <c r="M52" s="140">
        <v>12</v>
      </c>
      <c r="N52" s="139" t="s">
        <v>609</v>
      </c>
      <c r="O52" s="136">
        <f>SUM(I52*K52*M52)</f>
        <v>3600000</v>
      </c>
      <c r="P52" s="579"/>
      <c r="Q52" s="443"/>
    </row>
    <row r="53" spans="1:17" s="303" customFormat="1" ht="14.1" customHeight="1" x14ac:dyDescent="0.15">
      <c r="A53" s="293"/>
      <c r="B53" s="293"/>
      <c r="C53" s="320"/>
      <c r="D53" s="321"/>
      <c r="E53" s="322"/>
      <c r="F53" s="322"/>
      <c r="G53" s="322">
        <f t="shared" si="0"/>
        <v>0</v>
      </c>
      <c r="H53" s="227" t="s">
        <v>616</v>
      </c>
      <c r="I53" s="147">
        <v>300000</v>
      </c>
      <c r="J53" s="148" t="s">
        <v>613</v>
      </c>
      <c r="K53" s="272">
        <v>2</v>
      </c>
      <c r="L53" s="150" t="s">
        <v>614</v>
      </c>
      <c r="M53" s="151">
        <v>12</v>
      </c>
      <c r="N53" s="150" t="s">
        <v>609</v>
      </c>
      <c r="O53" s="142">
        <f>SUM(I53*K53*M53)</f>
        <v>7200000</v>
      </c>
      <c r="P53" s="579"/>
      <c r="Q53" s="443"/>
    </row>
    <row r="54" spans="1:17" ht="14.1" customHeight="1" x14ac:dyDescent="0.15">
      <c r="A54" s="293"/>
      <c r="B54" s="293"/>
      <c r="C54" s="745" t="s">
        <v>55</v>
      </c>
      <c r="D54" s="746"/>
      <c r="E54" s="223">
        <v>150645</v>
      </c>
      <c r="F54" s="223">
        <f>O54/1000</f>
        <v>150645.39600000001</v>
      </c>
      <c r="G54" s="162">
        <f t="shared" si="0"/>
        <v>0.39600000000791624</v>
      </c>
      <c r="H54" s="407" t="s">
        <v>617</v>
      </c>
      <c r="I54" s="414"/>
      <c r="J54" s="409"/>
      <c r="K54" s="410"/>
      <c r="L54" s="411"/>
      <c r="M54" s="412"/>
      <c r="N54" s="411"/>
      <c r="O54" s="413">
        <f>SUM(O55,O56,O57)</f>
        <v>150645396</v>
      </c>
    </row>
    <row r="55" spans="1:17" ht="14.1" customHeight="1" x14ac:dyDescent="0.15">
      <c r="A55" s="293"/>
      <c r="B55" s="293"/>
      <c r="C55" s="313"/>
      <c r="D55" s="312"/>
      <c r="E55" s="223"/>
      <c r="F55" s="223"/>
      <c r="G55" s="223">
        <f t="shared" si="0"/>
        <v>0</v>
      </c>
      <c r="H55" s="594" t="s">
        <v>618</v>
      </c>
      <c r="I55" s="323"/>
      <c r="J55" s="218"/>
      <c r="K55" s="324"/>
      <c r="L55" s="318"/>
      <c r="M55" s="325"/>
      <c r="N55" s="318"/>
      <c r="O55" s="654">
        <f>SUM(O58,O72,O127,O156,O158)</f>
        <v>122105636</v>
      </c>
      <c r="P55" s="655"/>
    </row>
    <row r="56" spans="1:17" ht="14.1" customHeight="1" x14ac:dyDescent="0.15">
      <c r="A56" s="293"/>
      <c r="B56" s="293"/>
      <c r="C56" s="313"/>
      <c r="D56" s="312"/>
      <c r="E56" s="223"/>
      <c r="F56" s="223"/>
      <c r="G56" s="223"/>
      <c r="H56" s="594" t="s">
        <v>619</v>
      </c>
      <c r="I56" s="323"/>
      <c r="J56" s="218"/>
      <c r="K56" s="324"/>
      <c r="L56" s="318"/>
      <c r="M56" s="325"/>
      <c r="N56" s="318"/>
      <c r="O56" s="141">
        <f>SUM(O59,O73,O128)</f>
        <v>7302180</v>
      </c>
    </row>
    <row r="57" spans="1:17" ht="14.1" customHeight="1" x14ac:dyDescent="0.15">
      <c r="A57" s="293"/>
      <c r="B57" s="293"/>
      <c r="C57" s="405"/>
      <c r="D57" s="312"/>
      <c r="E57" s="223"/>
      <c r="F57" s="223"/>
      <c r="G57" s="223"/>
      <c r="H57" s="594" t="s">
        <v>620</v>
      </c>
      <c r="I57" s="323"/>
      <c r="J57" s="218"/>
      <c r="K57" s="324"/>
      <c r="L57" s="318"/>
      <c r="M57" s="325"/>
      <c r="N57" s="318"/>
      <c r="O57" s="141">
        <f>SUM(O74,O160)</f>
        <v>21237580</v>
      </c>
    </row>
    <row r="58" spans="1:17" ht="14.1" customHeight="1" x14ac:dyDescent="0.15">
      <c r="A58" s="293"/>
      <c r="B58" s="293"/>
      <c r="C58" s="313"/>
      <c r="D58" s="312"/>
      <c r="E58" s="223"/>
      <c r="F58" s="223"/>
      <c r="G58" s="223"/>
      <c r="H58" s="594" t="s">
        <v>621</v>
      </c>
      <c r="I58" s="323"/>
      <c r="J58" s="218"/>
      <c r="K58" s="324"/>
      <c r="L58" s="318"/>
      <c r="M58" s="325"/>
      <c r="N58" s="318"/>
      <c r="O58" s="141">
        <f>SUM(O61:O70)</f>
        <v>5040000</v>
      </c>
    </row>
    <row r="59" spans="1:17" ht="14.1" customHeight="1" x14ac:dyDescent="0.15">
      <c r="A59" s="293"/>
      <c r="B59" s="293"/>
      <c r="C59" s="313"/>
      <c r="D59" s="312"/>
      <c r="E59" s="223"/>
      <c r="F59" s="223"/>
      <c r="G59" s="223"/>
      <c r="H59" s="594" t="s">
        <v>622</v>
      </c>
      <c r="I59" s="323"/>
      <c r="J59" s="218"/>
      <c r="K59" s="324"/>
      <c r="L59" s="318"/>
      <c r="M59" s="325"/>
      <c r="N59" s="318"/>
      <c r="O59" s="141">
        <f>O71</f>
        <v>1440000</v>
      </c>
    </row>
    <row r="60" spans="1:17" ht="14.1" customHeight="1" x14ac:dyDescent="0.15">
      <c r="A60" s="293"/>
      <c r="B60" s="293"/>
      <c r="C60" s="313"/>
      <c r="D60" s="312"/>
      <c r="E60" s="223"/>
      <c r="F60" s="223"/>
      <c r="G60" s="223">
        <f t="shared" si="0"/>
        <v>0</v>
      </c>
      <c r="H60" s="407" t="s">
        <v>623</v>
      </c>
      <c r="I60" s="408"/>
      <c r="J60" s="409"/>
      <c r="K60" s="410"/>
      <c r="L60" s="411"/>
      <c r="M60" s="412"/>
      <c r="N60" s="411"/>
      <c r="O60" s="413">
        <f>SUM(O61:P71)</f>
        <v>6480000</v>
      </c>
    </row>
    <row r="61" spans="1:17" ht="14.1" customHeight="1" x14ac:dyDescent="0.15">
      <c r="A61" s="293"/>
      <c r="B61" s="293"/>
      <c r="C61" s="313"/>
      <c r="D61" s="312"/>
      <c r="E61" s="223"/>
      <c r="F61" s="223"/>
      <c r="G61" s="223">
        <f t="shared" si="0"/>
        <v>0</v>
      </c>
      <c r="H61" s="592" t="s">
        <v>624</v>
      </c>
      <c r="I61" s="145">
        <v>40000</v>
      </c>
      <c r="J61" s="137" t="s">
        <v>625</v>
      </c>
      <c r="K61" s="138" t="s">
        <v>626</v>
      </c>
      <c r="L61" s="139" t="s">
        <v>627</v>
      </c>
      <c r="M61" s="140">
        <v>12</v>
      </c>
      <c r="N61" s="139" t="s">
        <v>628</v>
      </c>
      <c r="O61" s="136">
        <f t="shared" ref="O61:O71" si="11">SUM(I61*K61*M61)</f>
        <v>480000</v>
      </c>
    </row>
    <row r="62" spans="1:17" ht="14.1" customHeight="1" x14ac:dyDescent="0.15">
      <c r="A62" s="293"/>
      <c r="B62" s="293"/>
      <c r="C62" s="313"/>
      <c r="D62" s="326"/>
      <c r="E62" s="223"/>
      <c r="F62" s="223"/>
      <c r="G62" s="223">
        <f t="shared" si="0"/>
        <v>0</v>
      </c>
      <c r="H62" s="593" t="s">
        <v>629</v>
      </c>
      <c r="I62" s="145">
        <v>0</v>
      </c>
      <c r="J62" s="137" t="s">
        <v>625</v>
      </c>
      <c r="K62" s="138" t="s">
        <v>626</v>
      </c>
      <c r="L62" s="139" t="s">
        <v>627</v>
      </c>
      <c r="M62" s="140">
        <v>12</v>
      </c>
      <c r="N62" s="139" t="s">
        <v>628</v>
      </c>
      <c r="O62" s="136">
        <f t="shared" si="11"/>
        <v>0</v>
      </c>
    </row>
    <row r="63" spans="1:17" ht="14.1" customHeight="1" x14ac:dyDescent="0.15">
      <c r="A63" s="293"/>
      <c r="B63" s="293"/>
      <c r="C63" s="313"/>
      <c r="D63" s="326"/>
      <c r="E63" s="223"/>
      <c r="F63" s="223"/>
      <c r="G63" s="223">
        <f t="shared" si="0"/>
        <v>0</v>
      </c>
      <c r="H63" s="592" t="s">
        <v>630</v>
      </c>
      <c r="I63" s="145">
        <v>120000</v>
      </c>
      <c r="J63" s="137" t="s">
        <v>625</v>
      </c>
      <c r="K63" s="138" t="s">
        <v>626</v>
      </c>
      <c r="L63" s="139" t="s">
        <v>627</v>
      </c>
      <c r="M63" s="140">
        <v>12</v>
      </c>
      <c r="N63" s="139" t="s">
        <v>628</v>
      </c>
      <c r="O63" s="136">
        <f t="shared" si="11"/>
        <v>1440000</v>
      </c>
    </row>
    <row r="64" spans="1:17" ht="14.1" customHeight="1" x14ac:dyDescent="0.15">
      <c r="A64" s="293"/>
      <c r="B64" s="293"/>
      <c r="C64" s="313"/>
      <c r="D64" s="326"/>
      <c r="E64" s="223"/>
      <c r="F64" s="223"/>
      <c r="G64" s="223">
        <f t="shared" si="0"/>
        <v>0</v>
      </c>
      <c r="H64" s="592" t="s">
        <v>631</v>
      </c>
      <c r="I64" s="145">
        <v>40000</v>
      </c>
      <c r="J64" s="137" t="s">
        <v>625</v>
      </c>
      <c r="K64" s="138" t="s">
        <v>626</v>
      </c>
      <c r="L64" s="139" t="s">
        <v>627</v>
      </c>
      <c r="M64" s="140">
        <v>12</v>
      </c>
      <c r="N64" s="139" t="s">
        <v>628</v>
      </c>
      <c r="O64" s="136">
        <f t="shared" si="11"/>
        <v>480000</v>
      </c>
    </row>
    <row r="65" spans="1:16" ht="14.1" customHeight="1" x14ac:dyDescent="0.15">
      <c r="A65" s="293"/>
      <c r="B65" s="293"/>
      <c r="C65" s="313"/>
      <c r="D65" s="326"/>
      <c r="E65" s="223"/>
      <c r="F65" s="223"/>
      <c r="G65" s="223">
        <f t="shared" si="0"/>
        <v>0</v>
      </c>
      <c r="H65" s="592" t="s">
        <v>632</v>
      </c>
      <c r="I65" s="145">
        <v>100000</v>
      </c>
      <c r="J65" s="137" t="s">
        <v>625</v>
      </c>
      <c r="K65" s="138" t="s">
        <v>626</v>
      </c>
      <c r="L65" s="139" t="s">
        <v>627</v>
      </c>
      <c r="M65" s="140">
        <v>12</v>
      </c>
      <c r="N65" s="139" t="s">
        <v>628</v>
      </c>
      <c r="O65" s="136">
        <f t="shared" si="11"/>
        <v>1200000</v>
      </c>
    </row>
    <row r="66" spans="1:16" ht="14.1" customHeight="1" x14ac:dyDescent="0.15">
      <c r="A66" s="293"/>
      <c r="B66" s="293"/>
      <c r="C66" s="313"/>
      <c r="D66" s="326"/>
      <c r="E66" s="223"/>
      <c r="F66" s="223"/>
      <c r="G66" s="223">
        <f t="shared" si="0"/>
        <v>0</v>
      </c>
      <c r="H66" s="592" t="s">
        <v>633</v>
      </c>
      <c r="I66" s="145">
        <v>60000</v>
      </c>
      <c r="J66" s="137" t="s">
        <v>625</v>
      </c>
      <c r="K66" s="138" t="s">
        <v>626</v>
      </c>
      <c r="L66" s="139" t="s">
        <v>627</v>
      </c>
      <c r="M66" s="140">
        <v>12</v>
      </c>
      <c r="N66" s="139" t="s">
        <v>628</v>
      </c>
      <c r="O66" s="136">
        <f t="shared" si="11"/>
        <v>720000</v>
      </c>
    </row>
    <row r="67" spans="1:16" ht="14.1" customHeight="1" x14ac:dyDescent="0.15">
      <c r="A67" s="293"/>
      <c r="B67" s="293"/>
      <c r="C67" s="313"/>
      <c r="D67" s="326"/>
      <c r="E67" s="223"/>
      <c r="F67" s="223"/>
      <c r="G67" s="223">
        <f t="shared" si="0"/>
        <v>0</v>
      </c>
      <c r="H67" s="592" t="s">
        <v>634</v>
      </c>
      <c r="I67" s="145">
        <v>0</v>
      </c>
      <c r="J67" s="137" t="s">
        <v>601</v>
      </c>
      <c r="K67" s="138" t="s">
        <v>635</v>
      </c>
      <c r="L67" s="139" t="s">
        <v>602</v>
      </c>
      <c r="M67" s="140">
        <v>12</v>
      </c>
      <c r="N67" s="139" t="s">
        <v>599</v>
      </c>
      <c r="O67" s="136">
        <f t="shared" si="11"/>
        <v>0</v>
      </c>
    </row>
    <row r="68" spans="1:16" ht="14.1" customHeight="1" x14ac:dyDescent="0.15">
      <c r="A68" s="293"/>
      <c r="B68" s="293"/>
      <c r="C68" s="313"/>
      <c r="D68" s="326"/>
      <c r="E68" s="223"/>
      <c r="F68" s="223"/>
      <c r="G68" s="223">
        <f t="shared" si="0"/>
        <v>0</v>
      </c>
      <c r="H68" s="592" t="s">
        <v>636</v>
      </c>
      <c r="I68" s="145">
        <v>0</v>
      </c>
      <c r="J68" s="137" t="s">
        <v>601</v>
      </c>
      <c r="K68" s="138" t="s">
        <v>635</v>
      </c>
      <c r="L68" s="139" t="s">
        <v>602</v>
      </c>
      <c r="M68" s="140">
        <v>12</v>
      </c>
      <c r="N68" s="139" t="s">
        <v>599</v>
      </c>
      <c r="O68" s="136">
        <f t="shared" si="11"/>
        <v>0</v>
      </c>
    </row>
    <row r="69" spans="1:16" ht="14.1" customHeight="1" x14ac:dyDescent="0.15">
      <c r="A69" s="293"/>
      <c r="B69" s="293"/>
      <c r="C69" s="313"/>
      <c r="D69" s="326"/>
      <c r="E69" s="223"/>
      <c r="F69" s="223"/>
      <c r="G69" s="223">
        <f t="shared" si="0"/>
        <v>0</v>
      </c>
      <c r="H69" s="592" t="s">
        <v>637</v>
      </c>
      <c r="I69" s="145">
        <v>40000</v>
      </c>
      <c r="J69" s="137" t="s">
        <v>601</v>
      </c>
      <c r="K69" s="138" t="s">
        <v>635</v>
      </c>
      <c r="L69" s="139" t="s">
        <v>602</v>
      </c>
      <c r="M69" s="140">
        <v>12</v>
      </c>
      <c r="N69" s="139" t="s">
        <v>599</v>
      </c>
      <c r="O69" s="136">
        <f t="shared" si="11"/>
        <v>480000</v>
      </c>
    </row>
    <row r="70" spans="1:16" ht="14.1" customHeight="1" x14ac:dyDescent="0.15">
      <c r="A70" s="293"/>
      <c r="B70" s="293"/>
      <c r="C70" s="313"/>
      <c r="D70" s="326"/>
      <c r="E70" s="223"/>
      <c r="F70" s="223"/>
      <c r="G70" s="223">
        <f t="shared" si="0"/>
        <v>0</v>
      </c>
      <c r="H70" s="592" t="s">
        <v>638</v>
      </c>
      <c r="I70" s="145">
        <v>20000</v>
      </c>
      <c r="J70" s="137" t="s">
        <v>601</v>
      </c>
      <c r="K70" s="138" t="s">
        <v>635</v>
      </c>
      <c r="L70" s="139" t="s">
        <v>602</v>
      </c>
      <c r="M70" s="140">
        <v>12</v>
      </c>
      <c r="N70" s="139" t="s">
        <v>599</v>
      </c>
      <c r="O70" s="136">
        <f t="shared" si="11"/>
        <v>240000</v>
      </c>
    </row>
    <row r="71" spans="1:16" ht="14.1" customHeight="1" x14ac:dyDescent="0.15">
      <c r="A71" s="293"/>
      <c r="B71" s="293"/>
      <c r="C71" s="313"/>
      <c r="D71" s="326"/>
      <c r="E71" s="223"/>
      <c r="F71" s="223"/>
      <c r="G71" s="223"/>
      <c r="H71" s="592" t="s">
        <v>639</v>
      </c>
      <c r="I71" s="145">
        <v>120000</v>
      </c>
      <c r="J71" s="137" t="s">
        <v>601</v>
      </c>
      <c r="K71" s="138" t="s">
        <v>635</v>
      </c>
      <c r="L71" s="139" t="s">
        <v>602</v>
      </c>
      <c r="M71" s="140">
        <v>12</v>
      </c>
      <c r="N71" s="139" t="s">
        <v>599</v>
      </c>
      <c r="O71" s="136">
        <f t="shared" si="11"/>
        <v>1440000</v>
      </c>
    </row>
    <row r="72" spans="1:16" ht="14.1" customHeight="1" x14ac:dyDescent="0.15">
      <c r="A72" s="293"/>
      <c r="B72" s="293"/>
      <c r="C72" s="313"/>
      <c r="D72" s="326"/>
      <c r="E72" s="223"/>
      <c r="F72" s="223"/>
      <c r="G72" s="223">
        <f t="shared" si="0"/>
        <v>0</v>
      </c>
      <c r="H72" s="594" t="s">
        <v>640</v>
      </c>
      <c r="I72" s="145"/>
      <c r="J72" s="137"/>
      <c r="K72" s="138"/>
      <c r="L72" s="139"/>
      <c r="M72" s="140"/>
      <c r="N72" s="139"/>
      <c r="O72" s="141">
        <f>SUM(O76:P98)</f>
        <v>48216410</v>
      </c>
    </row>
    <row r="73" spans="1:16" ht="14.1" customHeight="1" x14ac:dyDescent="0.15">
      <c r="A73" s="293"/>
      <c r="B73" s="293"/>
      <c r="C73" s="313"/>
      <c r="D73" s="326"/>
      <c r="E73" s="223"/>
      <c r="F73" s="223"/>
      <c r="G73" s="223"/>
      <c r="H73" s="594" t="s">
        <v>641</v>
      </c>
      <c r="I73" s="145"/>
      <c r="J73" s="137"/>
      <c r="K73" s="138"/>
      <c r="L73" s="139"/>
      <c r="M73" s="140"/>
      <c r="N73" s="139"/>
      <c r="O73" s="141">
        <f>SUM(O99:O100)</f>
        <v>2896530</v>
      </c>
    </row>
    <row r="74" spans="1:16" ht="14.1" customHeight="1" x14ac:dyDescent="0.15">
      <c r="A74" s="293"/>
      <c r="B74" s="293"/>
      <c r="C74" s="405"/>
      <c r="D74" s="406"/>
      <c r="E74" s="223"/>
      <c r="F74" s="223"/>
      <c r="G74" s="223"/>
      <c r="H74" s="594" t="s">
        <v>642</v>
      </c>
      <c r="I74" s="145"/>
      <c r="J74" s="137"/>
      <c r="K74" s="138"/>
      <c r="L74" s="139"/>
      <c r="M74" s="140"/>
      <c r="N74" s="139"/>
      <c r="O74" s="141">
        <f>SUM(O102:O126)</f>
        <v>17037580</v>
      </c>
    </row>
    <row r="75" spans="1:16" ht="14.1" customHeight="1" x14ac:dyDescent="0.15">
      <c r="A75" s="293"/>
      <c r="B75" s="293"/>
      <c r="C75" s="405"/>
      <c r="D75" s="406"/>
      <c r="E75" s="223"/>
      <c r="F75" s="223"/>
      <c r="G75" s="223"/>
      <c r="H75" s="407" t="s">
        <v>643</v>
      </c>
      <c r="I75" s="415"/>
      <c r="J75" s="416"/>
      <c r="K75" s="417"/>
      <c r="L75" s="418"/>
      <c r="M75" s="419"/>
      <c r="N75" s="418"/>
      <c r="O75" s="413">
        <f>SUM(O76:O100,O102:O126)</f>
        <v>68150520</v>
      </c>
      <c r="P75" s="573"/>
    </row>
    <row r="76" spans="1:16" ht="14.1" customHeight="1" x14ac:dyDescent="0.15">
      <c r="A76" s="293"/>
      <c r="B76" s="293"/>
      <c r="C76" s="313"/>
      <c r="D76" s="326"/>
      <c r="E76" s="223"/>
      <c r="F76" s="223"/>
      <c r="G76" s="223">
        <f t="shared" si="0"/>
        <v>0</v>
      </c>
      <c r="H76" s="152" t="s">
        <v>425</v>
      </c>
      <c r="I76" s="153">
        <v>4017000</v>
      </c>
      <c r="J76" s="137" t="s">
        <v>601</v>
      </c>
      <c r="K76" s="319">
        <v>15</v>
      </c>
      <c r="L76" s="139" t="s">
        <v>644</v>
      </c>
      <c r="M76" s="140">
        <v>9</v>
      </c>
      <c r="N76" s="139" t="s">
        <v>599</v>
      </c>
      <c r="O76" s="136">
        <f t="shared" ref="O76:O100" si="12">ROUNDDOWN(I76*0.00478*1.5*15*M76, -1)</f>
        <v>3888250</v>
      </c>
      <c r="P76" s="580"/>
    </row>
    <row r="77" spans="1:16" ht="14.1" customHeight="1" x14ac:dyDescent="0.15">
      <c r="A77" s="293"/>
      <c r="B77" s="293"/>
      <c r="C77" s="313"/>
      <c r="D77" s="326"/>
      <c r="E77" s="223"/>
      <c r="F77" s="223"/>
      <c r="G77" s="223">
        <f t="shared" si="0"/>
        <v>0</v>
      </c>
      <c r="H77" s="152" t="s">
        <v>645</v>
      </c>
      <c r="I77" s="153">
        <v>4074000</v>
      </c>
      <c r="J77" s="137" t="s">
        <v>601</v>
      </c>
      <c r="K77" s="319">
        <v>15</v>
      </c>
      <c r="L77" s="139" t="s">
        <v>644</v>
      </c>
      <c r="M77" s="140">
        <v>3</v>
      </c>
      <c r="N77" s="139" t="s">
        <v>599</v>
      </c>
      <c r="O77" s="136">
        <f t="shared" si="12"/>
        <v>1314470</v>
      </c>
      <c r="P77" s="580"/>
    </row>
    <row r="78" spans="1:16" ht="14.1" customHeight="1" x14ac:dyDescent="0.15">
      <c r="A78" s="293"/>
      <c r="B78" s="293"/>
      <c r="C78" s="313"/>
      <c r="D78" s="326"/>
      <c r="E78" s="223"/>
      <c r="F78" s="223"/>
      <c r="G78" s="223">
        <f t="shared" si="0"/>
        <v>0</v>
      </c>
      <c r="H78" s="144" t="s">
        <v>427</v>
      </c>
      <c r="I78" s="153">
        <v>2999000</v>
      </c>
      <c r="J78" s="137" t="s">
        <v>601</v>
      </c>
      <c r="K78" s="319">
        <v>15</v>
      </c>
      <c r="L78" s="139" t="s">
        <v>644</v>
      </c>
      <c r="M78" s="140">
        <v>3</v>
      </c>
      <c r="N78" s="139" t="s">
        <v>599</v>
      </c>
      <c r="O78" s="136">
        <f t="shared" si="12"/>
        <v>967620</v>
      </c>
      <c r="P78" s="580"/>
    </row>
    <row r="79" spans="1:16" ht="14.1" customHeight="1" x14ac:dyDescent="0.15">
      <c r="A79" s="293"/>
      <c r="B79" s="293"/>
      <c r="C79" s="313"/>
      <c r="D79" s="312"/>
      <c r="E79" s="223"/>
      <c r="F79" s="223"/>
      <c r="G79" s="223">
        <f t="shared" si="0"/>
        <v>0</v>
      </c>
      <c r="H79" s="144" t="s">
        <v>428</v>
      </c>
      <c r="I79" s="153">
        <v>3045000</v>
      </c>
      <c r="J79" s="137" t="s">
        <v>601</v>
      </c>
      <c r="K79" s="319">
        <v>15</v>
      </c>
      <c r="L79" s="139" t="s">
        <v>644</v>
      </c>
      <c r="M79" s="140">
        <v>9</v>
      </c>
      <c r="N79" s="139" t="s">
        <v>599</v>
      </c>
      <c r="O79" s="136">
        <f t="shared" si="12"/>
        <v>2947400</v>
      </c>
      <c r="P79" s="580"/>
    </row>
    <row r="80" spans="1:16" ht="14.1" customHeight="1" x14ac:dyDescent="0.15">
      <c r="A80" s="293"/>
      <c r="B80" s="293"/>
      <c r="C80" s="313"/>
      <c r="D80" s="312"/>
      <c r="E80" s="223"/>
      <c r="F80" s="223"/>
      <c r="G80" s="223">
        <f t="shared" si="0"/>
        <v>0</v>
      </c>
      <c r="H80" s="144" t="s">
        <v>488</v>
      </c>
      <c r="I80" s="153">
        <v>3488000</v>
      </c>
      <c r="J80" s="137" t="s">
        <v>601</v>
      </c>
      <c r="K80" s="319">
        <v>15</v>
      </c>
      <c r="L80" s="139" t="s">
        <v>644</v>
      </c>
      <c r="M80" s="140">
        <v>6</v>
      </c>
      <c r="N80" s="139" t="s">
        <v>599</v>
      </c>
      <c r="O80" s="136">
        <f t="shared" si="12"/>
        <v>2250800</v>
      </c>
      <c r="P80" s="580"/>
    </row>
    <row r="81" spans="1:16" ht="14.1" customHeight="1" x14ac:dyDescent="0.15">
      <c r="A81" s="293"/>
      <c r="B81" s="293"/>
      <c r="C81" s="313"/>
      <c r="D81" s="312"/>
      <c r="E81" s="223"/>
      <c r="F81" s="223"/>
      <c r="G81" s="223">
        <f t="shared" si="0"/>
        <v>0</v>
      </c>
      <c r="H81" s="144" t="s">
        <v>490</v>
      </c>
      <c r="I81" s="153">
        <v>3559000</v>
      </c>
      <c r="J81" s="137" t="s">
        <v>601</v>
      </c>
      <c r="K81" s="319">
        <v>15</v>
      </c>
      <c r="L81" s="139" t="s">
        <v>644</v>
      </c>
      <c r="M81" s="140">
        <v>6</v>
      </c>
      <c r="N81" s="139" t="s">
        <v>599</v>
      </c>
      <c r="O81" s="136">
        <f t="shared" si="12"/>
        <v>2296620</v>
      </c>
      <c r="P81" s="580"/>
    </row>
    <row r="82" spans="1:16" ht="14.1" customHeight="1" x14ac:dyDescent="0.15">
      <c r="A82" s="293"/>
      <c r="B82" s="293"/>
      <c r="C82" s="313"/>
      <c r="D82" s="312"/>
      <c r="E82" s="223"/>
      <c r="F82" s="223"/>
      <c r="G82" s="223">
        <f t="shared" si="0"/>
        <v>0</v>
      </c>
      <c r="H82" s="144" t="s">
        <v>430</v>
      </c>
      <c r="I82" s="153">
        <v>3206000</v>
      </c>
      <c r="J82" s="137" t="s">
        <v>601</v>
      </c>
      <c r="K82" s="319">
        <v>15</v>
      </c>
      <c r="L82" s="139" t="s">
        <v>644</v>
      </c>
      <c r="M82" s="140">
        <v>7</v>
      </c>
      <c r="N82" s="139" t="s">
        <v>599</v>
      </c>
      <c r="O82" s="136">
        <f t="shared" si="12"/>
        <v>2413630</v>
      </c>
      <c r="P82" s="580"/>
    </row>
    <row r="83" spans="1:16" ht="14.1" customHeight="1" x14ac:dyDescent="0.15">
      <c r="A83" s="293"/>
      <c r="B83" s="293"/>
      <c r="C83" s="313"/>
      <c r="D83" s="312"/>
      <c r="E83" s="223"/>
      <c r="F83" s="223"/>
      <c r="G83" s="223">
        <f t="shared" si="0"/>
        <v>0</v>
      </c>
      <c r="H83" s="144" t="s">
        <v>431</v>
      </c>
      <c r="I83" s="153">
        <v>3271000</v>
      </c>
      <c r="J83" s="137" t="s">
        <v>601</v>
      </c>
      <c r="K83" s="319">
        <v>15</v>
      </c>
      <c r="L83" s="139" t="s">
        <v>644</v>
      </c>
      <c r="M83" s="140">
        <v>5</v>
      </c>
      <c r="N83" s="139" t="s">
        <v>599</v>
      </c>
      <c r="O83" s="136">
        <f t="shared" si="12"/>
        <v>1758980</v>
      </c>
      <c r="P83" s="580"/>
    </row>
    <row r="84" spans="1:16" ht="14.1" customHeight="1" x14ac:dyDescent="0.15">
      <c r="A84" s="293"/>
      <c r="B84" s="293"/>
      <c r="C84" s="313"/>
      <c r="D84" s="312"/>
      <c r="E84" s="223"/>
      <c r="F84" s="223"/>
      <c r="G84" s="223">
        <f t="shared" si="0"/>
        <v>0</v>
      </c>
      <c r="H84" s="144" t="s">
        <v>432</v>
      </c>
      <c r="I84" s="153">
        <v>2598720</v>
      </c>
      <c r="J84" s="137" t="s">
        <v>601</v>
      </c>
      <c r="K84" s="319">
        <v>15</v>
      </c>
      <c r="L84" s="139" t="s">
        <v>644</v>
      </c>
      <c r="M84" s="140">
        <v>6</v>
      </c>
      <c r="N84" s="139" t="s">
        <v>599</v>
      </c>
      <c r="O84" s="136">
        <f t="shared" si="12"/>
        <v>1676950</v>
      </c>
      <c r="P84" s="580"/>
    </row>
    <row r="85" spans="1:16" ht="14.1" customHeight="1" x14ac:dyDescent="0.15">
      <c r="A85" s="293"/>
      <c r="B85" s="293"/>
      <c r="C85" s="313"/>
      <c r="D85" s="312"/>
      <c r="E85" s="223"/>
      <c r="F85" s="223"/>
      <c r="G85" s="223"/>
      <c r="H85" s="144" t="s">
        <v>433</v>
      </c>
      <c r="I85" s="153">
        <v>2673190</v>
      </c>
      <c r="J85" s="137" t="s">
        <v>601</v>
      </c>
      <c r="K85" s="319">
        <v>15</v>
      </c>
      <c r="L85" s="139" t="s">
        <v>644</v>
      </c>
      <c r="M85" s="140">
        <v>6</v>
      </c>
      <c r="N85" s="139" t="s">
        <v>599</v>
      </c>
      <c r="O85" s="136">
        <f t="shared" si="12"/>
        <v>1725000</v>
      </c>
      <c r="P85" s="580"/>
    </row>
    <row r="86" spans="1:16" ht="14.1" customHeight="1" x14ac:dyDescent="0.15">
      <c r="A86" s="293"/>
      <c r="B86" s="293"/>
      <c r="C86" s="313"/>
      <c r="D86" s="312"/>
      <c r="E86" s="223"/>
      <c r="F86" s="223"/>
      <c r="G86" s="223">
        <f t="shared" ref="G86:G186" si="13">F86-E86</f>
        <v>0</v>
      </c>
      <c r="H86" s="144" t="s">
        <v>492</v>
      </c>
      <c r="I86" s="153">
        <v>2311000</v>
      </c>
      <c r="J86" s="137" t="s">
        <v>601</v>
      </c>
      <c r="K86" s="319">
        <v>15</v>
      </c>
      <c r="L86" s="139" t="s">
        <v>644</v>
      </c>
      <c r="M86" s="140">
        <v>11</v>
      </c>
      <c r="N86" s="139" t="s">
        <v>599</v>
      </c>
      <c r="O86" s="136">
        <f t="shared" si="12"/>
        <v>2734020</v>
      </c>
      <c r="P86" s="580"/>
    </row>
    <row r="87" spans="1:16" ht="14.1" customHeight="1" x14ac:dyDescent="0.15">
      <c r="A87" s="320"/>
      <c r="B87" s="320"/>
      <c r="C87" s="273"/>
      <c r="D87" s="321"/>
      <c r="E87" s="322"/>
      <c r="F87" s="322"/>
      <c r="G87" s="322">
        <f t="shared" si="13"/>
        <v>0</v>
      </c>
      <c r="H87" s="327" t="s">
        <v>493</v>
      </c>
      <c r="I87" s="170">
        <v>2383000</v>
      </c>
      <c r="J87" s="148" t="s">
        <v>601</v>
      </c>
      <c r="K87" s="272">
        <v>15</v>
      </c>
      <c r="L87" s="150" t="s">
        <v>644</v>
      </c>
      <c r="M87" s="151">
        <v>1</v>
      </c>
      <c r="N87" s="150" t="s">
        <v>599</v>
      </c>
      <c r="O87" s="142">
        <f t="shared" si="12"/>
        <v>256290</v>
      </c>
      <c r="P87" s="580"/>
    </row>
    <row r="88" spans="1:16" ht="14.1" customHeight="1" x14ac:dyDescent="0.15">
      <c r="A88" s="293"/>
      <c r="B88" s="293"/>
      <c r="C88" s="313"/>
      <c r="D88" s="312"/>
      <c r="E88" s="223"/>
      <c r="F88" s="223"/>
      <c r="G88" s="223">
        <f t="shared" si="13"/>
        <v>0</v>
      </c>
      <c r="H88" s="144" t="s">
        <v>478</v>
      </c>
      <c r="I88" s="153">
        <v>2810000</v>
      </c>
      <c r="J88" s="137" t="s">
        <v>601</v>
      </c>
      <c r="K88" s="319">
        <v>15</v>
      </c>
      <c r="L88" s="139" t="s">
        <v>644</v>
      </c>
      <c r="M88" s="140">
        <v>12</v>
      </c>
      <c r="N88" s="139" t="s">
        <v>599</v>
      </c>
      <c r="O88" s="136">
        <f t="shared" si="12"/>
        <v>3626580</v>
      </c>
      <c r="P88" s="580"/>
    </row>
    <row r="89" spans="1:16" ht="14.1" customHeight="1" x14ac:dyDescent="0.15">
      <c r="A89" s="293"/>
      <c r="B89" s="293"/>
      <c r="C89" s="405"/>
      <c r="D89" s="312"/>
      <c r="E89" s="223"/>
      <c r="F89" s="223"/>
      <c r="G89" s="223"/>
      <c r="H89" s="144" t="s">
        <v>480</v>
      </c>
      <c r="I89" s="153">
        <v>2906000</v>
      </c>
      <c r="J89" s="137" t="s">
        <v>601</v>
      </c>
      <c r="K89" s="319">
        <v>15</v>
      </c>
      <c r="L89" s="139" t="s">
        <v>644</v>
      </c>
      <c r="M89" s="140">
        <v>12</v>
      </c>
      <c r="N89" s="139" t="s">
        <v>599</v>
      </c>
      <c r="O89" s="136">
        <f t="shared" si="12"/>
        <v>3750480</v>
      </c>
      <c r="P89" s="580"/>
    </row>
    <row r="90" spans="1:16" ht="14.1" customHeight="1" x14ac:dyDescent="0.15">
      <c r="A90" s="293"/>
      <c r="B90" s="293"/>
      <c r="C90" s="511"/>
      <c r="D90" s="312"/>
      <c r="E90" s="223"/>
      <c r="F90" s="223"/>
      <c r="G90" s="223">
        <f t="shared" si="13"/>
        <v>0</v>
      </c>
      <c r="H90" s="144" t="s">
        <v>494</v>
      </c>
      <c r="I90" s="153">
        <v>2383000</v>
      </c>
      <c r="J90" s="137" t="s">
        <v>601</v>
      </c>
      <c r="K90" s="319">
        <v>15</v>
      </c>
      <c r="L90" s="139" t="s">
        <v>644</v>
      </c>
      <c r="M90" s="140">
        <v>12</v>
      </c>
      <c r="N90" s="139" t="s">
        <v>599</v>
      </c>
      <c r="O90" s="136">
        <f t="shared" si="12"/>
        <v>3075490</v>
      </c>
      <c r="P90" s="580"/>
    </row>
    <row r="91" spans="1:16" ht="14.1" customHeight="1" x14ac:dyDescent="0.15">
      <c r="A91" s="293"/>
      <c r="B91" s="293"/>
      <c r="C91" s="511"/>
      <c r="D91" s="312"/>
      <c r="E91" s="223"/>
      <c r="F91" s="223"/>
      <c r="G91" s="223">
        <f t="shared" si="13"/>
        <v>0</v>
      </c>
      <c r="H91" s="144" t="s">
        <v>495</v>
      </c>
      <c r="I91" s="153">
        <v>2539000</v>
      </c>
      <c r="J91" s="137" t="s">
        <v>601</v>
      </c>
      <c r="K91" s="319">
        <v>15</v>
      </c>
      <c r="L91" s="139" t="s">
        <v>644</v>
      </c>
      <c r="M91" s="140">
        <v>7</v>
      </c>
      <c r="N91" s="139" t="s">
        <v>599</v>
      </c>
      <c r="O91" s="136">
        <f t="shared" si="12"/>
        <v>1911480</v>
      </c>
      <c r="P91" s="580"/>
    </row>
    <row r="92" spans="1:16" ht="14.1" customHeight="1" x14ac:dyDescent="0.15">
      <c r="A92" s="293"/>
      <c r="B92" s="293"/>
      <c r="C92" s="511"/>
      <c r="D92" s="312"/>
      <c r="E92" s="223"/>
      <c r="F92" s="223"/>
      <c r="G92" s="223"/>
      <c r="H92" s="144" t="s">
        <v>496</v>
      </c>
      <c r="I92" s="153">
        <v>2633000</v>
      </c>
      <c r="J92" s="137" t="s">
        <v>601</v>
      </c>
      <c r="K92" s="319">
        <v>15</v>
      </c>
      <c r="L92" s="139" t="s">
        <v>644</v>
      </c>
      <c r="M92" s="140">
        <v>5</v>
      </c>
      <c r="N92" s="139" t="s">
        <v>599</v>
      </c>
      <c r="O92" s="136">
        <f t="shared" si="12"/>
        <v>1415890</v>
      </c>
      <c r="P92" s="580"/>
    </row>
    <row r="93" spans="1:16" ht="14.1" customHeight="1" x14ac:dyDescent="0.15">
      <c r="A93" s="293"/>
      <c r="B93" s="293"/>
      <c r="C93" s="511"/>
      <c r="D93" s="312"/>
      <c r="E93" s="223"/>
      <c r="F93" s="223"/>
      <c r="G93" s="223"/>
      <c r="H93" s="144" t="s">
        <v>497</v>
      </c>
      <c r="I93" s="153">
        <v>2633000</v>
      </c>
      <c r="J93" s="137" t="s">
        <v>601</v>
      </c>
      <c r="K93" s="319">
        <v>15</v>
      </c>
      <c r="L93" s="139" t="s">
        <v>644</v>
      </c>
      <c r="M93" s="140">
        <v>11</v>
      </c>
      <c r="N93" s="139" t="s">
        <v>599</v>
      </c>
      <c r="O93" s="136">
        <f t="shared" si="12"/>
        <v>3114970</v>
      </c>
      <c r="P93" s="580"/>
    </row>
    <row r="94" spans="1:16" ht="14.1" customHeight="1" x14ac:dyDescent="0.15">
      <c r="A94" s="293"/>
      <c r="B94" s="293"/>
      <c r="C94" s="511"/>
      <c r="D94" s="312"/>
      <c r="E94" s="223"/>
      <c r="F94" s="223"/>
      <c r="G94" s="223">
        <f t="shared" si="13"/>
        <v>0</v>
      </c>
      <c r="H94" s="144" t="s">
        <v>498</v>
      </c>
      <c r="I94" s="153">
        <v>2674000</v>
      </c>
      <c r="J94" s="137" t="s">
        <v>601</v>
      </c>
      <c r="K94" s="319">
        <v>15</v>
      </c>
      <c r="L94" s="139" t="s">
        <v>644</v>
      </c>
      <c r="M94" s="140">
        <v>1</v>
      </c>
      <c r="N94" s="139" t="s">
        <v>599</v>
      </c>
      <c r="O94" s="136">
        <f t="shared" si="12"/>
        <v>287580</v>
      </c>
      <c r="P94" s="580"/>
    </row>
    <row r="95" spans="1:16" ht="14.1" customHeight="1" x14ac:dyDescent="0.15">
      <c r="A95" s="293"/>
      <c r="B95" s="293"/>
      <c r="C95" s="511"/>
      <c r="D95" s="312"/>
      <c r="E95" s="223"/>
      <c r="F95" s="223"/>
      <c r="G95" s="223">
        <f t="shared" si="13"/>
        <v>0</v>
      </c>
      <c r="H95" s="144" t="s">
        <v>482</v>
      </c>
      <c r="I95" s="153">
        <v>2638000</v>
      </c>
      <c r="J95" s="137" t="s">
        <v>601</v>
      </c>
      <c r="K95" s="319">
        <v>15</v>
      </c>
      <c r="L95" s="139" t="s">
        <v>644</v>
      </c>
      <c r="M95" s="140">
        <v>11</v>
      </c>
      <c r="N95" s="139" t="s">
        <v>599</v>
      </c>
      <c r="O95" s="136">
        <f t="shared" si="12"/>
        <v>3120880</v>
      </c>
      <c r="P95" s="580"/>
    </row>
    <row r="96" spans="1:16" ht="14.1" customHeight="1" x14ac:dyDescent="0.15">
      <c r="A96" s="293"/>
      <c r="B96" s="293"/>
      <c r="C96" s="511"/>
      <c r="D96" s="312"/>
      <c r="E96" s="223"/>
      <c r="F96" s="223"/>
      <c r="G96" s="223">
        <f t="shared" si="13"/>
        <v>0</v>
      </c>
      <c r="H96" s="144" t="s">
        <v>483</v>
      </c>
      <c r="I96" s="153">
        <v>2687000</v>
      </c>
      <c r="J96" s="137" t="s">
        <v>601</v>
      </c>
      <c r="K96" s="319">
        <v>15</v>
      </c>
      <c r="L96" s="139" t="s">
        <v>644</v>
      </c>
      <c r="M96" s="140">
        <v>1</v>
      </c>
      <c r="N96" s="139" t="s">
        <v>599</v>
      </c>
      <c r="O96" s="136">
        <f t="shared" si="12"/>
        <v>288980</v>
      </c>
      <c r="P96" s="580"/>
    </row>
    <row r="97" spans="1:16" ht="14.1" customHeight="1" x14ac:dyDescent="0.15">
      <c r="A97" s="293"/>
      <c r="B97" s="293"/>
      <c r="C97" s="511"/>
      <c r="D97" s="312"/>
      <c r="E97" s="223"/>
      <c r="F97" s="223"/>
      <c r="G97" s="223">
        <f t="shared" ref="G97:G98" si="14">F97-E97</f>
        <v>0</v>
      </c>
      <c r="H97" s="144" t="s">
        <v>484</v>
      </c>
      <c r="I97" s="153">
        <v>2589000</v>
      </c>
      <c r="J97" s="137" t="s">
        <v>601</v>
      </c>
      <c r="K97" s="319">
        <v>15</v>
      </c>
      <c r="L97" s="139" t="s">
        <v>644</v>
      </c>
      <c r="M97" s="140">
        <v>2</v>
      </c>
      <c r="N97" s="139" t="s">
        <v>599</v>
      </c>
      <c r="O97" s="136">
        <f t="shared" si="12"/>
        <v>556890</v>
      </c>
      <c r="P97" s="580"/>
    </row>
    <row r="98" spans="1:16" ht="14.1" customHeight="1" x14ac:dyDescent="0.15">
      <c r="A98" s="293"/>
      <c r="B98" s="293"/>
      <c r="C98" s="511"/>
      <c r="D98" s="312"/>
      <c r="E98" s="223"/>
      <c r="F98" s="223"/>
      <c r="G98" s="223">
        <f t="shared" si="14"/>
        <v>0</v>
      </c>
      <c r="H98" s="144" t="s">
        <v>485</v>
      </c>
      <c r="I98" s="328">
        <v>2638000</v>
      </c>
      <c r="J98" s="215" t="s">
        <v>601</v>
      </c>
      <c r="K98" s="319">
        <v>15</v>
      </c>
      <c r="L98" s="329" t="s">
        <v>644</v>
      </c>
      <c r="M98" s="216">
        <v>10</v>
      </c>
      <c r="N98" s="329" t="s">
        <v>599</v>
      </c>
      <c r="O98" s="136">
        <f t="shared" si="12"/>
        <v>2837160</v>
      </c>
      <c r="P98" s="580"/>
    </row>
    <row r="99" spans="1:16" ht="14.1" customHeight="1" x14ac:dyDescent="0.15">
      <c r="A99" s="293"/>
      <c r="B99" s="293"/>
      <c r="C99" s="511"/>
      <c r="D99" s="312"/>
      <c r="E99" s="223"/>
      <c r="F99" s="223"/>
      <c r="G99" s="223">
        <f t="shared" si="13"/>
        <v>0</v>
      </c>
      <c r="H99" s="144" t="s">
        <v>646</v>
      </c>
      <c r="I99" s="153">
        <v>2231000</v>
      </c>
      <c r="J99" s="137" t="s">
        <v>601</v>
      </c>
      <c r="K99" s="319">
        <v>15</v>
      </c>
      <c r="L99" s="139" t="s">
        <v>644</v>
      </c>
      <c r="M99" s="140">
        <v>10</v>
      </c>
      <c r="N99" s="139" t="s">
        <v>599</v>
      </c>
      <c r="O99" s="136">
        <f t="shared" si="12"/>
        <v>2399440</v>
      </c>
      <c r="P99" s="580"/>
    </row>
    <row r="100" spans="1:16" ht="14.1" customHeight="1" x14ac:dyDescent="0.15">
      <c r="A100" s="293"/>
      <c r="B100" s="293"/>
      <c r="C100" s="511"/>
      <c r="D100" s="312"/>
      <c r="E100" s="223"/>
      <c r="F100" s="223"/>
      <c r="G100" s="223">
        <f t="shared" si="13"/>
        <v>0</v>
      </c>
      <c r="H100" s="327" t="s">
        <v>647</v>
      </c>
      <c r="I100" s="170">
        <v>2311000</v>
      </c>
      <c r="J100" s="148" t="s">
        <v>601</v>
      </c>
      <c r="K100" s="272">
        <v>15</v>
      </c>
      <c r="L100" s="150" t="s">
        <v>644</v>
      </c>
      <c r="M100" s="151">
        <v>2</v>
      </c>
      <c r="N100" s="150" t="s">
        <v>599</v>
      </c>
      <c r="O100" s="142">
        <f t="shared" si="12"/>
        <v>497090</v>
      </c>
      <c r="P100" s="580"/>
    </row>
    <row r="101" spans="1:16" ht="14.1" customHeight="1" x14ac:dyDescent="0.15">
      <c r="A101" s="293"/>
      <c r="B101" s="293"/>
      <c r="C101" s="511"/>
      <c r="D101" s="312"/>
      <c r="E101" s="223"/>
      <c r="F101" s="223"/>
      <c r="G101" s="223"/>
      <c r="H101" s="600" t="s">
        <v>648</v>
      </c>
      <c r="I101" s="557"/>
      <c r="J101" s="558"/>
      <c r="K101" s="601"/>
      <c r="L101" s="602"/>
      <c r="M101" s="560"/>
      <c r="N101" s="602"/>
      <c r="O101" s="371">
        <f>SUM(O102:O126)</f>
        <v>17037580</v>
      </c>
      <c r="P101" s="573"/>
    </row>
    <row r="102" spans="1:16" ht="14.1" customHeight="1" x14ac:dyDescent="0.15">
      <c r="A102" s="293"/>
      <c r="B102" s="293"/>
      <c r="C102" s="511"/>
      <c r="D102" s="512"/>
      <c r="E102" s="223"/>
      <c r="F102" s="223"/>
      <c r="G102" s="223">
        <f t="shared" si="13"/>
        <v>0</v>
      </c>
      <c r="H102" s="152" t="s">
        <v>425</v>
      </c>
      <c r="I102" s="153">
        <v>4017000</v>
      </c>
      <c r="J102" s="137" t="s">
        <v>601</v>
      </c>
      <c r="K102" s="319">
        <v>5</v>
      </c>
      <c r="L102" s="139" t="s">
        <v>644</v>
      </c>
      <c r="M102" s="140">
        <v>9</v>
      </c>
      <c r="N102" s="139" t="s">
        <v>599</v>
      </c>
      <c r="O102" s="136">
        <f>ROUNDDOWN(I102*0.00478*1.5*5*M102, -1)</f>
        <v>1296080</v>
      </c>
      <c r="P102" s="580"/>
    </row>
    <row r="103" spans="1:16" ht="14.1" customHeight="1" x14ac:dyDescent="0.15">
      <c r="A103" s="293"/>
      <c r="B103" s="293"/>
      <c r="C103" s="511"/>
      <c r="D103" s="512"/>
      <c r="E103" s="223"/>
      <c r="F103" s="223"/>
      <c r="G103" s="223">
        <f t="shared" si="13"/>
        <v>0</v>
      </c>
      <c r="H103" s="152" t="s">
        <v>426</v>
      </c>
      <c r="I103" s="153">
        <v>4074000</v>
      </c>
      <c r="J103" s="137" t="s">
        <v>601</v>
      </c>
      <c r="K103" s="319">
        <v>5</v>
      </c>
      <c r="L103" s="139" t="s">
        <v>644</v>
      </c>
      <c r="M103" s="140">
        <v>3</v>
      </c>
      <c r="N103" s="139" t="s">
        <v>599</v>
      </c>
      <c r="O103" s="136">
        <f>ROUNDDOWN(I103*0.00478*1.5*5*M103, -1)</f>
        <v>438150</v>
      </c>
      <c r="P103" s="580"/>
    </row>
    <row r="104" spans="1:16" ht="14.1" customHeight="1" x14ac:dyDescent="0.15">
      <c r="A104" s="293"/>
      <c r="B104" s="293"/>
      <c r="C104" s="511"/>
      <c r="D104" s="512"/>
      <c r="E104" s="223"/>
      <c r="F104" s="223"/>
      <c r="G104" s="223">
        <f t="shared" si="13"/>
        <v>0</v>
      </c>
      <c r="H104" s="144" t="s">
        <v>427</v>
      </c>
      <c r="I104" s="153">
        <v>2999000</v>
      </c>
      <c r="J104" s="137" t="s">
        <v>601</v>
      </c>
      <c r="K104" s="319">
        <v>5</v>
      </c>
      <c r="L104" s="139" t="s">
        <v>644</v>
      </c>
      <c r="M104" s="140">
        <v>3</v>
      </c>
      <c r="N104" s="139" t="s">
        <v>599</v>
      </c>
      <c r="O104" s="136">
        <f>ROUNDDOWN(I104*0.00478*1.5*5*M104, -1)</f>
        <v>322540</v>
      </c>
      <c r="P104" s="580"/>
    </row>
    <row r="105" spans="1:16" ht="14.1" customHeight="1" x14ac:dyDescent="0.15">
      <c r="A105" s="293"/>
      <c r="B105" s="293"/>
      <c r="C105" s="511"/>
      <c r="D105" s="312"/>
      <c r="E105" s="223"/>
      <c r="F105" s="223"/>
      <c r="G105" s="223">
        <f t="shared" si="13"/>
        <v>0</v>
      </c>
      <c r="H105" s="144" t="s">
        <v>428</v>
      </c>
      <c r="I105" s="153">
        <v>3045000</v>
      </c>
      <c r="J105" s="137" t="s">
        <v>601</v>
      </c>
      <c r="K105" s="319">
        <v>5</v>
      </c>
      <c r="L105" s="139" t="s">
        <v>644</v>
      </c>
      <c r="M105" s="140">
        <v>9</v>
      </c>
      <c r="N105" s="139" t="s">
        <v>599</v>
      </c>
      <c r="O105" s="136">
        <f>ROUNDDOWN(I105*0.00478*1.5*5*M105, -1)</f>
        <v>982460</v>
      </c>
      <c r="P105" s="580"/>
    </row>
    <row r="106" spans="1:16" ht="14.1" customHeight="1" x14ac:dyDescent="0.15">
      <c r="A106" s="293"/>
      <c r="B106" s="293"/>
      <c r="C106" s="511"/>
      <c r="D106" s="312"/>
      <c r="E106" s="223"/>
      <c r="F106" s="223"/>
      <c r="G106" s="223">
        <f t="shared" si="13"/>
        <v>0</v>
      </c>
      <c r="H106" s="144" t="s">
        <v>488</v>
      </c>
      <c r="I106" s="153">
        <v>3488000</v>
      </c>
      <c r="J106" s="137" t="s">
        <v>601</v>
      </c>
      <c r="K106" s="319">
        <v>5</v>
      </c>
      <c r="L106" s="139" t="s">
        <v>644</v>
      </c>
      <c r="M106" s="140">
        <v>6</v>
      </c>
      <c r="N106" s="139" t="s">
        <v>599</v>
      </c>
      <c r="O106" s="136">
        <f>ROUNDDOWN(I106*0.00478*1.5*5*M106, -1)</f>
        <v>750260</v>
      </c>
      <c r="P106" s="580"/>
    </row>
    <row r="107" spans="1:16" ht="14.1" customHeight="1" x14ac:dyDescent="0.15">
      <c r="A107" s="293"/>
      <c r="B107" s="293"/>
      <c r="C107" s="511"/>
      <c r="D107" s="312"/>
      <c r="E107" s="223"/>
      <c r="F107" s="223"/>
      <c r="G107" s="223">
        <f t="shared" si="13"/>
        <v>0</v>
      </c>
      <c r="H107" s="144" t="s">
        <v>490</v>
      </c>
      <c r="I107" s="153">
        <v>3559000</v>
      </c>
      <c r="J107" s="137" t="s">
        <v>601</v>
      </c>
      <c r="K107" s="319">
        <v>5</v>
      </c>
      <c r="L107" s="139" t="s">
        <v>644</v>
      </c>
      <c r="M107" s="140">
        <v>6</v>
      </c>
      <c r="N107" s="139" t="s">
        <v>599</v>
      </c>
      <c r="O107" s="136">
        <f t="shared" ref="O107:O126" si="15">ROUNDDOWN(I107*0.00478*1.5*5*M107, -1)</f>
        <v>765540</v>
      </c>
      <c r="P107" s="580"/>
    </row>
    <row r="108" spans="1:16" ht="14.1" customHeight="1" x14ac:dyDescent="0.15">
      <c r="A108" s="293"/>
      <c r="B108" s="293"/>
      <c r="C108" s="511"/>
      <c r="D108" s="312"/>
      <c r="E108" s="223"/>
      <c r="F108" s="223"/>
      <c r="G108" s="223">
        <f t="shared" si="13"/>
        <v>0</v>
      </c>
      <c r="H108" s="144" t="s">
        <v>430</v>
      </c>
      <c r="I108" s="153">
        <v>3206000</v>
      </c>
      <c r="J108" s="137" t="s">
        <v>601</v>
      </c>
      <c r="K108" s="319">
        <v>5</v>
      </c>
      <c r="L108" s="139" t="s">
        <v>644</v>
      </c>
      <c r="M108" s="140">
        <v>7</v>
      </c>
      <c r="N108" s="139" t="s">
        <v>599</v>
      </c>
      <c r="O108" s="136">
        <f t="shared" si="15"/>
        <v>804540</v>
      </c>
      <c r="P108" s="580"/>
    </row>
    <row r="109" spans="1:16" ht="14.1" customHeight="1" x14ac:dyDescent="0.15">
      <c r="A109" s="293"/>
      <c r="B109" s="293"/>
      <c r="C109" s="511"/>
      <c r="D109" s="312"/>
      <c r="E109" s="223"/>
      <c r="F109" s="223"/>
      <c r="G109" s="223">
        <f t="shared" si="13"/>
        <v>0</v>
      </c>
      <c r="H109" s="144" t="s">
        <v>431</v>
      </c>
      <c r="I109" s="153">
        <v>3271000</v>
      </c>
      <c r="J109" s="137" t="s">
        <v>601</v>
      </c>
      <c r="K109" s="319">
        <v>5</v>
      </c>
      <c r="L109" s="139" t="s">
        <v>644</v>
      </c>
      <c r="M109" s="140">
        <v>5</v>
      </c>
      <c r="N109" s="139" t="s">
        <v>599</v>
      </c>
      <c r="O109" s="136">
        <f t="shared" si="15"/>
        <v>586320</v>
      </c>
      <c r="P109" s="580"/>
    </row>
    <row r="110" spans="1:16" ht="14.1" customHeight="1" x14ac:dyDescent="0.15">
      <c r="A110" s="293"/>
      <c r="B110" s="293"/>
      <c r="C110" s="511"/>
      <c r="D110" s="312"/>
      <c r="E110" s="223"/>
      <c r="F110" s="223"/>
      <c r="G110" s="223">
        <f t="shared" si="13"/>
        <v>0</v>
      </c>
      <c r="H110" s="144" t="s">
        <v>432</v>
      </c>
      <c r="I110" s="153">
        <v>2598720</v>
      </c>
      <c r="J110" s="137" t="s">
        <v>601</v>
      </c>
      <c r="K110" s="319">
        <v>5</v>
      </c>
      <c r="L110" s="139" t="s">
        <v>644</v>
      </c>
      <c r="M110" s="140">
        <v>6</v>
      </c>
      <c r="N110" s="139" t="s">
        <v>599</v>
      </c>
      <c r="O110" s="136">
        <f t="shared" si="15"/>
        <v>558980</v>
      </c>
      <c r="P110" s="580"/>
    </row>
    <row r="111" spans="1:16" ht="14.1" customHeight="1" x14ac:dyDescent="0.15">
      <c r="A111" s="293"/>
      <c r="B111" s="293"/>
      <c r="C111" s="511"/>
      <c r="D111" s="312"/>
      <c r="E111" s="223"/>
      <c r="F111" s="223"/>
      <c r="G111" s="223"/>
      <c r="H111" s="144" t="s">
        <v>433</v>
      </c>
      <c r="I111" s="153">
        <v>2673190</v>
      </c>
      <c r="J111" s="137" t="s">
        <v>601</v>
      </c>
      <c r="K111" s="319">
        <v>5</v>
      </c>
      <c r="L111" s="139" t="s">
        <v>644</v>
      </c>
      <c r="M111" s="140">
        <v>6</v>
      </c>
      <c r="N111" s="139" t="s">
        <v>599</v>
      </c>
      <c r="O111" s="136">
        <f t="shared" si="15"/>
        <v>575000</v>
      </c>
      <c r="P111" s="580"/>
    </row>
    <row r="112" spans="1:16" ht="14.1" customHeight="1" x14ac:dyDescent="0.15">
      <c r="A112" s="293"/>
      <c r="B112" s="293"/>
      <c r="C112" s="511"/>
      <c r="D112" s="312"/>
      <c r="E112" s="223"/>
      <c r="F112" s="223"/>
      <c r="G112" s="223">
        <f t="shared" ref="G112:G114" si="16">F112-E112</f>
        <v>0</v>
      </c>
      <c r="H112" s="144" t="s">
        <v>492</v>
      </c>
      <c r="I112" s="153">
        <v>2311000</v>
      </c>
      <c r="J112" s="137" t="s">
        <v>601</v>
      </c>
      <c r="K112" s="319">
        <v>5</v>
      </c>
      <c r="L112" s="139" t="s">
        <v>644</v>
      </c>
      <c r="M112" s="140">
        <v>11</v>
      </c>
      <c r="N112" s="139" t="s">
        <v>599</v>
      </c>
      <c r="O112" s="136">
        <f t="shared" si="15"/>
        <v>911340</v>
      </c>
      <c r="P112" s="580"/>
    </row>
    <row r="113" spans="1:16" ht="14.1" customHeight="1" x14ac:dyDescent="0.15">
      <c r="A113" s="320"/>
      <c r="B113" s="320"/>
      <c r="C113" s="497"/>
      <c r="D113" s="321"/>
      <c r="E113" s="322"/>
      <c r="F113" s="322"/>
      <c r="G113" s="322">
        <f t="shared" si="16"/>
        <v>0</v>
      </c>
      <c r="H113" s="327" t="s">
        <v>493</v>
      </c>
      <c r="I113" s="170">
        <v>2383000</v>
      </c>
      <c r="J113" s="148" t="s">
        <v>601</v>
      </c>
      <c r="K113" s="272">
        <v>5</v>
      </c>
      <c r="L113" s="150" t="s">
        <v>644</v>
      </c>
      <c r="M113" s="151">
        <v>1</v>
      </c>
      <c r="N113" s="150" t="s">
        <v>599</v>
      </c>
      <c r="O113" s="142">
        <f t="shared" si="15"/>
        <v>85430</v>
      </c>
      <c r="P113" s="580"/>
    </row>
    <row r="114" spans="1:16" ht="14.1" customHeight="1" x14ac:dyDescent="0.15">
      <c r="A114" s="293"/>
      <c r="B114" s="293"/>
      <c r="C114" s="511"/>
      <c r="D114" s="312"/>
      <c r="E114" s="223"/>
      <c r="F114" s="223"/>
      <c r="G114" s="223">
        <f t="shared" si="16"/>
        <v>0</v>
      </c>
      <c r="H114" s="144" t="s">
        <v>478</v>
      </c>
      <c r="I114" s="153">
        <v>2810000</v>
      </c>
      <c r="J114" s="137" t="s">
        <v>601</v>
      </c>
      <c r="K114" s="319">
        <v>5</v>
      </c>
      <c r="L114" s="139" t="s">
        <v>644</v>
      </c>
      <c r="M114" s="140">
        <v>12</v>
      </c>
      <c r="N114" s="139" t="s">
        <v>599</v>
      </c>
      <c r="O114" s="136">
        <f t="shared" si="15"/>
        <v>1208860</v>
      </c>
      <c r="P114" s="580"/>
    </row>
    <row r="115" spans="1:16" ht="14.1" customHeight="1" x14ac:dyDescent="0.15">
      <c r="A115" s="293"/>
      <c r="B115" s="293"/>
      <c r="C115" s="511"/>
      <c r="D115" s="312"/>
      <c r="E115" s="223"/>
      <c r="F115" s="223"/>
      <c r="G115" s="223"/>
      <c r="H115" s="144" t="s">
        <v>480</v>
      </c>
      <c r="I115" s="153">
        <v>2906000</v>
      </c>
      <c r="J115" s="137" t="s">
        <v>601</v>
      </c>
      <c r="K115" s="319">
        <v>5</v>
      </c>
      <c r="L115" s="139" t="s">
        <v>644</v>
      </c>
      <c r="M115" s="140">
        <v>12</v>
      </c>
      <c r="N115" s="139" t="s">
        <v>599</v>
      </c>
      <c r="O115" s="136">
        <f t="shared" si="15"/>
        <v>1250160</v>
      </c>
      <c r="P115" s="580"/>
    </row>
    <row r="116" spans="1:16" ht="14.1" customHeight="1" x14ac:dyDescent="0.15">
      <c r="A116" s="293"/>
      <c r="B116" s="293"/>
      <c r="C116" s="511"/>
      <c r="D116" s="312"/>
      <c r="E116" s="223"/>
      <c r="F116" s="223"/>
      <c r="G116" s="223">
        <f t="shared" ref="G116:G117" si="17">F116-E116</f>
        <v>0</v>
      </c>
      <c r="H116" s="144" t="s">
        <v>494</v>
      </c>
      <c r="I116" s="153">
        <v>2383000</v>
      </c>
      <c r="J116" s="137" t="s">
        <v>601</v>
      </c>
      <c r="K116" s="319">
        <v>5</v>
      </c>
      <c r="L116" s="139" t="s">
        <v>644</v>
      </c>
      <c r="M116" s="140">
        <v>12</v>
      </c>
      <c r="N116" s="139" t="s">
        <v>599</v>
      </c>
      <c r="O116" s="136">
        <f t="shared" si="15"/>
        <v>1025160</v>
      </c>
      <c r="P116" s="580"/>
    </row>
    <row r="117" spans="1:16" ht="14.1" customHeight="1" x14ac:dyDescent="0.15">
      <c r="A117" s="293"/>
      <c r="B117" s="293"/>
      <c r="C117" s="511"/>
      <c r="D117" s="312"/>
      <c r="E117" s="223"/>
      <c r="F117" s="223"/>
      <c r="G117" s="223">
        <f t="shared" si="17"/>
        <v>0</v>
      </c>
      <c r="H117" s="144" t="s">
        <v>495</v>
      </c>
      <c r="I117" s="153">
        <v>2539000</v>
      </c>
      <c r="J117" s="137" t="s">
        <v>601</v>
      </c>
      <c r="K117" s="319">
        <v>5</v>
      </c>
      <c r="L117" s="139" t="s">
        <v>644</v>
      </c>
      <c r="M117" s="140">
        <v>7</v>
      </c>
      <c r="N117" s="139" t="s">
        <v>599</v>
      </c>
      <c r="O117" s="136">
        <f t="shared" si="15"/>
        <v>637160</v>
      </c>
      <c r="P117" s="580"/>
    </row>
    <row r="118" spans="1:16" ht="14.1" customHeight="1" x14ac:dyDescent="0.15">
      <c r="A118" s="293"/>
      <c r="B118" s="293"/>
      <c r="C118" s="511"/>
      <c r="D118" s="312"/>
      <c r="E118" s="223"/>
      <c r="F118" s="223"/>
      <c r="G118" s="223"/>
      <c r="H118" s="144" t="s">
        <v>496</v>
      </c>
      <c r="I118" s="153">
        <v>2633000</v>
      </c>
      <c r="J118" s="137" t="s">
        <v>601</v>
      </c>
      <c r="K118" s="319">
        <v>5</v>
      </c>
      <c r="L118" s="139" t="s">
        <v>644</v>
      </c>
      <c r="M118" s="140">
        <v>5</v>
      </c>
      <c r="N118" s="139" t="s">
        <v>599</v>
      </c>
      <c r="O118" s="136">
        <f t="shared" si="15"/>
        <v>471960</v>
      </c>
      <c r="P118" s="580"/>
    </row>
    <row r="119" spans="1:16" ht="14.1" customHeight="1" x14ac:dyDescent="0.15">
      <c r="A119" s="293"/>
      <c r="B119" s="293"/>
      <c r="C119" s="511"/>
      <c r="D119" s="312"/>
      <c r="E119" s="223"/>
      <c r="F119" s="223"/>
      <c r="G119" s="223"/>
      <c r="H119" s="144" t="s">
        <v>497</v>
      </c>
      <c r="I119" s="153">
        <v>2633000</v>
      </c>
      <c r="J119" s="137" t="s">
        <v>601</v>
      </c>
      <c r="K119" s="319">
        <v>5</v>
      </c>
      <c r="L119" s="139" t="s">
        <v>644</v>
      </c>
      <c r="M119" s="140">
        <v>11</v>
      </c>
      <c r="N119" s="139" t="s">
        <v>599</v>
      </c>
      <c r="O119" s="136">
        <f t="shared" si="15"/>
        <v>1038320</v>
      </c>
      <c r="P119" s="580"/>
    </row>
    <row r="120" spans="1:16" ht="14.1" customHeight="1" x14ac:dyDescent="0.15">
      <c r="A120" s="293"/>
      <c r="B120" s="293"/>
      <c r="C120" s="511"/>
      <c r="D120" s="312"/>
      <c r="E120" s="223"/>
      <c r="F120" s="223"/>
      <c r="G120" s="223">
        <f t="shared" ref="G120:G126" si="18">F120-E120</f>
        <v>0</v>
      </c>
      <c r="H120" s="144" t="s">
        <v>498</v>
      </c>
      <c r="I120" s="153">
        <v>2674000</v>
      </c>
      <c r="J120" s="137" t="s">
        <v>601</v>
      </c>
      <c r="K120" s="319">
        <v>5</v>
      </c>
      <c r="L120" s="139" t="s">
        <v>644</v>
      </c>
      <c r="M120" s="140">
        <v>1</v>
      </c>
      <c r="N120" s="139" t="s">
        <v>599</v>
      </c>
      <c r="O120" s="136">
        <f t="shared" si="15"/>
        <v>95860</v>
      </c>
      <c r="P120" s="580"/>
    </row>
    <row r="121" spans="1:16" ht="14.1" customHeight="1" x14ac:dyDescent="0.15">
      <c r="A121" s="293"/>
      <c r="B121" s="293"/>
      <c r="C121" s="511"/>
      <c r="D121" s="312"/>
      <c r="E121" s="223"/>
      <c r="F121" s="223"/>
      <c r="G121" s="223">
        <f t="shared" si="18"/>
        <v>0</v>
      </c>
      <c r="H121" s="144" t="s">
        <v>482</v>
      </c>
      <c r="I121" s="153">
        <v>2638000</v>
      </c>
      <c r="J121" s="137" t="s">
        <v>601</v>
      </c>
      <c r="K121" s="319">
        <v>5</v>
      </c>
      <c r="L121" s="139" t="s">
        <v>644</v>
      </c>
      <c r="M121" s="140">
        <v>11</v>
      </c>
      <c r="N121" s="139" t="s">
        <v>599</v>
      </c>
      <c r="O121" s="136">
        <f t="shared" si="15"/>
        <v>1040290</v>
      </c>
      <c r="P121" s="580"/>
    </row>
    <row r="122" spans="1:16" ht="14.1" customHeight="1" x14ac:dyDescent="0.15">
      <c r="A122" s="293"/>
      <c r="B122" s="293"/>
      <c r="C122" s="511"/>
      <c r="D122" s="312"/>
      <c r="E122" s="223"/>
      <c r="F122" s="223"/>
      <c r="G122" s="223">
        <f t="shared" si="18"/>
        <v>0</v>
      </c>
      <c r="H122" s="144" t="s">
        <v>483</v>
      </c>
      <c r="I122" s="153">
        <v>2687000</v>
      </c>
      <c r="J122" s="137" t="s">
        <v>601</v>
      </c>
      <c r="K122" s="319">
        <v>5</v>
      </c>
      <c r="L122" s="139" t="s">
        <v>644</v>
      </c>
      <c r="M122" s="140">
        <v>1</v>
      </c>
      <c r="N122" s="139" t="s">
        <v>599</v>
      </c>
      <c r="O122" s="136">
        <f t="shared" si="15"/>
        <v>96320</v>
      </c>
      <c r="P122" s="580"/>
    </row>
    <row r="123" spans="1:16" ht="14.1" customHeight="1" x14ac:dyDescent="0.15">
      <c r="A123" s="293"/>
      <c r="B123" s="293"/>
      <c r="C123" s="511"/>
      <c r="D123" s="312"/>
      <c r="E123" s="223"/>
      <c r="F123" s="223"/>
      <c r="G123" s="223">
        <f t="shared" si="18"/>
        <v>0</v>
      </c>
      <c r="H123" s="144" t="s">
        <v>484</v>
      </c>
      <c r="I123" s="153">
        <v>2589000</v>
      </c>
      <c r="J123" s="137" t="s">
        <v>601</v>
      </c>
      <c r="K123" s="319">
        <v>5</v>
      </c>
      <c r="L123" s="139" t="s">
        <v>644</v>
      </c>
      <c r="M123" s="140">
        <v>2</v>
      </c>
      <c r="N123" s="139" t="s">
        <v>599</v>
      </c>
      <c r="O123" s="136">
        <f t="shared" si="15"/>
        <v>185630</v>
      </c>
      <c r="P123" s="580"/>
    </row>
    <row r="124" spans="1:16" ht="14.1" customHeight="1" x14ac:dyDescent="0.15">
      <c r="A124" s="293"/>
      <c r="B124" s="293"/>
      <c r="C124" s="511"/>
      <c r="D124" s="312"/>
      <c r="E124" s="223"/>
      <c r="F124" s="223"/>
      <c r="G124" s="223">
        <f t="shared" si="18"/>
        <v>0</v>
      </c>
      <c r="H124" s="144" t="s">
        <v>485</v>
      </c>
      <c r="I124" s="328">
        <v>2638000</v>
      </c>
      <c r="J124" s="215" t="s">
        <v>601</v>
      </c>
      <c r="K124" s="319">
        <v>5</v>
      </c>
      <c r="L124" s="329" t="s">
        <v>644</v>
      </c>
      <c r="M124" s="216">
        <v>10</v>
      </c>
      <c r="N124" s="329" t="s">
        <v>599</v>
      </c>
      <c r="O124" s="136">
        <f t="shared" si="15"/>
        <v>945720</v>
      </c>
      <c r="P124" s="580"/>
    </row>
    <row r="125" spans="1:16" ht="14.1" customHeight="1" x14ac:dyDescent="0.15">
      <c r="A125" s="293"/>
      <c r="B125" s="293"/>
      <c r="C125" s="511"/>
      <c r="D125" s="312"/>
      <c r="E125" s="223"/>
      <c r="F125" s="223"/>
      <c r="G125" s="223">
        <f t="shared" si="18"/>
        <v>0</v>
      </c>
      <c r="H125" s="144" t="s">
        <v>646</v>
      </c>
      <c r="I125" s="153">
        <v>2231000</v>
      </c>
      <c r="J125" s="137" t="s">
        <v>601</v>
      </c>
      <c r="K125" s="319">
        <v>5</v>
      </c>
      <c r="L125" s="139" t="s">
        <v>644</v>
      </c>
      <c r="M125" s="140">
        <v>10</v>
      </c>
      <c r="N125" s="139" t="s">
        <v>599</v>
      </c>
      <c r="O125" s="136">
        <f t="shared" si="15"/>
        <v>799810</v>
      </c>
      <c r="P125" s="580"/>
    </row>
    <row r="126" spans="1:16" ht="14.1" customHeight="1" x14ac:dyDescent="0.15">
      <c r="A126" s="293"/>
      <c r="B126" s="293"/>
      <c r="C126" s="511"/>
      <c r="D126" s="312"/>
      <c r="E126" s="223"/>
      <c r="F126" s="223"/>
      <c r="G126" s="223">
        <f t="shared" si="18"/>
        <v>0</v>
      </c>
      <c r="H126" s="327" t="s">
        <v>647</v>
      </c>
      <c r="I126" s="170">
        <v>2311000</v>
      </c>
      <c r="J126" s="148" t="s">
        <v>601</v>
      </c>
      <c r="K126" s="272">
        <v>5</v>
      </c>
      <c r="L126" s="150" t="s">
        <v>644</v>
      </c>
      <c r="M126" s="151">
        <v>2</v>
      </c>
      <c r="N126" s="150" t="s">
        <v>599</v>
      </c>
      <c r="O126" s="142">
        <f t="shared" si="15"/>
        <v>165690</v>
      </c>
      <c r="P126" s="580"/>
    </row>
    <row r="127" spans="1:16" ht="14.1" customHeight="1" x14ac:dyDescent="0.15">
      <c r="A127" s="293"/>
      <c r="B127" s="293"/>
      <c r="C127" s="511"/>
      <c r="D127" s="312"/>
      <c r="E127" s="223"/>
      <c r="F127" s="223"/>
      <c r="G127" s="223">
        <f t="shared" si="13"/>
        <v>0</v>
      </c>
      <c r="H127" s="594" t="s">
        <v>649</v>
      </c>
      <c r="I127" s="211"/>
      <c r="J127" s="218"/>
      <c r="K127" s="324"/>
      <c r="L127" s="318"/>
      <c r="M127" s="325"/>
      <c r="N127" s="318"/>
      <c r="O127" s="141">
        <f>SUM(O129:P153)</f>
        <v>50849226</v>
      </c>
    </row>
    <row r="128" spans="1:16" ht="14.1" customHeight="1" x14ac:dyDescent="0.15">
      <c r="A128" s="293"/>
      <c r="B128" s="293"/>
      <c r="C128" s="511"/>
      <c r="D128" s="312"/>
      <c r="E128" s="223"/>
      <c r="F128" s="223"/>
      <c r="G128" s="223"/>
      <c r="H128" s="594" t="s">
        <v>650</v>
      </c>
      <c r="I128" s="211"/>
      <c r="J128" s="218"/>
      <c r="K128" s="324"/>
      <c r="L128" s="318"/>
      <c r="M128" s="325"/>
      <c r="N128" s="318"/>
      <c r="O128" s="141">
        <f>SUM(O154:O155)</f>
        <v>2965650</v>
      </c>
    </row>
    <row r="129" spans="1:16" ht="14.1" customHeight="1" x14ac:dyDescent="0.15">
      <c r="A129" s="293"/>
      <c r="B129" s="293"/>
      <c r="C129" s="511"/>
      <c r="D129" s="512"/>
      <c r="E129" s="223"/>
      <c r="F129" s="223"/>
      <c r="G129" s="223">
        <f t="shared" si="13"/>
        <v>0</v>
      </c>
      <c r="H129" s="152" t="s">
        <v>499</v>
      </c>
      <c r="I129" s="153">
        <v>4702000</v>
      </c>
      <c r="J129" s="137" t="s">
        <v>239</v>
      </c>
      <c r="K129" s="138" t="s">
        <v>651</v>
      </c>
      <c r="L129" s="139" t="s">
        <v>106</v>
      </c>
      <c r="M129" s="140">
        <v>1</v>
      </c>
      <c r="N129" s="139" t="s">
        <v>652</v>
      </c>
      <c r="O129" s="136">
        <f t="shared" ref="O129:O158" si="19">SUM(I129*K129*M129)</f>
        <v>2821200</v>
      </c>
      <c r="P129" s="580"/>
    </row>
    <row r="130" spans="1:16" ht="14.1" customHeight="1" x14ac:dyDescent="0.15">
      <c r="A130" s="293"/>
      <c r="B130" s="293"/>
      <c r="C130" s="511"/>
      <c r="D130" s="512"/>
      <c r="E130" s="223"/>
      <c r="F130" s="223"/>
      <c r="G130" s="223">
        <f t="shared" si="13"/>
        <v>0</v>
      </c>
      <c r="H130" s="152" t="s">
        <v>500</v>
      </c>
      <c r="I130" s="153">
        <v>4754000</v>
      </c>
      <c r="J130" s="137" t="s">
        <v>239</v>
      </c>
      <c r="K130" s="138" t="s">
        <v>651</v>
      </c>
      <c r="L130" s="139" t="s">
        <v>106</v>
      </c>
      <c r="M130" s="140">
        <v>1</v>
      </c>
      <c r="N130" s="139" t="s">
        <v>652</v>
      </c>
      <c r="O130" s="136">
        <f t="shared" si="19"/>
        <v>2852400</v>
      </c>
      <c r="P130" s="580"/>
    </row>
    <row r="131" spans="1:16" ht="14.1" customHeight="1" x14ac:dyDescent="0.15">
      <c r="A131" s="293"/>
      <c r="B131" s="293"/>
      <c r="C131" s="511"/>
      <c r="D131" s="512"/>
      <c r="E131" s="223"/>
      <c r="F131" s="223"/>
      <c r="G131" s="223">
        <f t="shared" si="13"/>
        <v>0</v>
      </c>
      <c r="H131" s="152" t="s">
        <v>425</v>
      </c>
      <c r="I131" s="153">
        <v>4017000</v>
      </c>
      <c r="J131" s="137" t="s">
        <v>239</v>
      </c>
      <c r="K131" s="138" t="s">
        <v>651</v>
      </c>
      <c r="L131" s="139" t="s">
        <v>106</v>
      </c>
      <c r="M131" s="140">
        <v>1</v>
      </c>
      <c r="N131" s="139" t="s">
        <v>652</v>
      </c>
      <c r="O131" s="136">
        <f t="shared" si="19"/>
        <v>2410200</v>
      </c>
      <c r="P131" s="580"/>
    </row>
    <row r="132" spans="1:16" ht="14.1" customHeight="1" x14ac:dyDescent="0.15">
      <c r="A132" s="293"/>
      <c r="B132" s="293"/>
      <c r="C132" s="511"/>
      <c r="D132" s="512"/>
      <c r="E132" s="223"/>
      <c r="F132" s="223"/>
      <c r="G132" s="223">
        <f t="shared" si="13"/>
        <v>0</v>
      </c>
      <c r="H132" s="152" t="s">
        <v>645</v>
      </c>
      <c r="I132" s="153">
        <v>4074000</v>
      </c>
      <c r="J132" s="137" t="s">
        <v>239</v>
      </c>
      <c r="K132" s="138" t="s">
        <v>651</v>
      </c>
      <c r="L132" s="139" t="s">
        <v>106</v>
      </c>
      <c r="M132" s="140">
        <v>1</v>
      </c>
      <c r="N132" s="139" t="s">
        <v>652</v>
      </c>
      <c r="O132" s="136">
        <f t="shared" si="19"/>
        <v>2444400</v>
      </c>
      <c r="P132" s="580"/>
    </row>
    <row r="133" spans="1:16" ht="14.1" customHeight="1" x14ac:dyDescent="0.15">
      <c r="A133" s="293"/>
      <c r="B133" s="293"/>
      <c r="C133" s="511"/>
      <c r="D133" s="512"/>
      <c r="E133" s="223"/>
      <c r="F133" s="223"/>
      <c r="G133" s="223">
        <f t="shared" si="13"/>
        <v>0</v>
      </c>
      <c r="H133" s="144" t="s">
        <v>427</v>
      </c>
      <c r="I133" s="153">
        <v>2999000</v>
      </c>
      <c r="J133" s="137" t="s">
        <v>239</v>
      </c>
      <c r="K133" s="138" t="s">
        <v>651</v>
      </c>
      <c r="L133" s="139" t="s">
        <v>106</v>
      </c>
      <c r="M133" s="140">
        <v>1</v>
      </c>
      <c r="N133" s="139" t="s">
        <v>652</v>
      </c>
      <c r="O133" s="136">
        <f t="shared" si="19"/>
        <v>1799400</v>
      </c>
      <c r="P133" s="580"/>
    </row>
    <row r="134" spans="1:16" ht="14.1" customHeight="1" x14ac:dyDescent="0.15">
      <c r="A134" s="293"/>
      <c r="B134" s="293"/>
      <c r="C134" s="511"/>
      <c r="D134" s="312"/>
      <c r="E134" s="223"/>
      <c r="F134" s="223"/>
      <c r="G134" s="223">
        <f t="shared" si="13"/>
        <v>0</v>
      </c>
      <c r="H134" s="144" t="s">
        <v>428</v>
      </c>
      <c r="I134" s="153">
        <v>3045000</v>
      </c>
      <c r="J134" s="137" t="s">
        <v>239</v>
      </c>
      <c r="K134" s="138" t="s">
        <v>651</v>
      </c>
      <c r="L134" s="139" t="s">
        <v>106</v>
      </c>
      <c r="M134" s="140">
        <v>1</v>
      </c>
      <c r="N134" s="139" t="s">
        <v>652</v>
      </c>
      <c r="O134" s="136">
        <f t="shared" si="19"/>
        <v>1827000</v>
      </c>
      <c r="P134" s="580"/>
    </row>
    <row r="135" spans="1:16" ht="14.1" customHeight="1" x14ac:dyDescent="0.15">
      <c r="A135" s="293"/>
      <c r="B135" s="293"/>
      <c r="C135" s="511"/>
      <c r="D135" s="312"/>
      <c r="E135" s="223"/>
      <c r="F135" s="223"/>
      <c r="G135" s="223">
        <f t="shared" si="13"/>
        <v>0</v>
      </c>
      <c r="H135" s="144" t="s">
        <v>488</v>
      </c>
      <c r="I135" s="153">
        <v>3488000</v>
      </c>
      <c r="J135" s="137" t="s">
        <v>239</v>
      </c>
      <c r="K135" s="319">
        <v>0.6</v>
      </c>
      <c r="L135" s="139" t="s">
        <v>106</v>
      </c>
      <c r="M135" s="140">
        <v>1</v>
      </c>
      <c r="N135" s="139" t="s">
        <v>652</v>
      </c>
      <c r="O135" s="136">
        <f t="shared" si="19"/>
        <v>2092800</v>
      </c>
      <c r="P135" s="580"/>
    </row>
    <row r="136" spans="1:16" ht="14.1" customHeight="1" x14ac:dyDescent="0.15">
      <c r="A136" s="293"/>
      <c r="B136" s="293"/>
      <c r="C136" s="511"/>
      <c r="D136" s="312"/>
      <c r="E136" s="223"/>
      <c r="F136" s="223"/>
      <c r="G136" s="223">
        <f t="shared" si="13"/>
        <v>0</v>
      </c>
      <c r="H136" s="144" t="s">
        <v>490</v>
      </c>
      <c r="I136" s="153">
        <v>3559000</v>
      </c>
      <c r="J136" s="137" t="s">
        <v>239</v>
      </c>
      <c r="K136" s="319">
        <v>0.6</v>
      </c>
      <c r="L136" s="139" t="s">
        <v>106</v>
      </c>
      <c r="M136" s="140">
        <v>1</v>
      </c>
      <c r="N136" s="139" t="s">
        <v>652</v>
      </c>
      <c r="O136" s="136">
        <f t="shared" si="19"/>
        <v>2135400</v>
      </c>
      <c r="P136" s="580"/>
    </row>
    <row r="137" spans="1:16" ht="14.1" customHeight="1" x14ac:dyDescent="0.15">
      <c r="A137" s="293"/>
      <c r="B137" s="293"/>
      <c r="C137" s="511"/>
      <c r="D137" s="312"/>
      <c r="E137" s="223"/>
      <c r="F137" s="223"/>
      <c r="G137" s="223">
        <f t="shared" si="13"/>
        <v>0</v>
      </c>
      <c r="H137" s="144" t="s">
        <v>430</v>
      </c>
      <c r="I137" s="153">
        <v>3206000</v>
      </c>
      <c r="J137" s="137" t="s">
        <v>239</v>
      </c>
      <c r="K137" s="319">
        <v>0.6</v>
      </c>
      <c r="L137" s="139" t="s">
        <v>106</v>
      </c>
      <c r="M137" s="140">
        <v>1</v>
      </c>
      <c r="N137" s="139" t="s">
        <v>652</v>
      </c>
      <c r="O137" s="136">
        <f t="shared" si="19"/>
        <v>1923600</v>
      </c>
      <c r="P137" s="580"/>
    </row>
    <row r="138" spans="1:16" ht="14.1" customHeight="1" x14ac:dyDescent="0.15">
      <c r="A138" s="293"/>
      <c r="B138" s="293"/>
      <c r="C138" s="511"/>
      <c r="D138" s="312"/>
      <c r="E138" s="223"/>
      <c r="F138" s="223"/>
      <c r="G138" s="223">
        <f t="shared" si="13"/>
        <v>0</v>
      </c>
      <c r="H138" s="144" t="s">
        <v>431</v>
      </c>
      <c r="I138" s="153">
        <v>3271000</v>
      </c>
      <c r="J138" s="137" t="s">
        <v>239</v>
      </c>
      <c r="K138" s="319">
        <v>0.6</v>
      </c>
      <c r="L138" s="139" t="s">
        <v>106</v>
      </c>
      <c r="M138" s="140">
        <v>1</v>
      </c>
      <c r="N138" s="139" t="s">
        <v>652</v>
      </c>
      <c r="O138" s="136">
        <f t="shared" si="19"/>
        <v>1962600</v>
      </c>
      <c r="P138" s="580"/>
    </row>
    <row r="139" spans="1:16" ht="14.1" customHeight="1" x14ac:dyDescent="0.15">
      <c r="A139" s="293"/>
      <c r="B139" s="293"/>
      <c r="C139" s="511"/>
      <c r="D139" s="312"/>
      <c r="E139" s="223"/>
      <c r="F139" s="223"/>
      <c r="G139" s="223">
        <f t="shared" si="13"/>
        <v>0</v>
      </c>
      <c r="H139" s="144" t="s">
        <v>432</v>
      </c>
      <c r="I139" s="153">
        <v>2598720</v>
      </c>
      <c r="J139" s="137" t="s">
        <v>239</v>
      </c>
      <c r="K139" s="319">
        <v>0.6</v>
      </c>
      <c r="L139" s="139" t="s">
        <v>106</v>
      </c>
      <c r="M139" s="140">
        <v>1</v>
      </c>
      <c r="N139" s="139" t="s">
        <v>652</v>
      </c>
      <c r="O139" s="136">
        <f t="shared" si="19"/>
        <v>1559232</v>
      </c>
      <c r="P139" s="580"/>
    </row>
    <row r="140" spans="1:16" ht="14.1" customHeight="1" x14ac:dyDescent="0.15">
      <c r="A140" s="293"/>
      <c r="B140" s="293"/>
      <c r="C140" s="511"/>
      <c r="D140" s="312"/>
      <c r="E140" s="223"/>
      <c r="F140" s="223"/>
      <c r="G140" s="223">
        <f t="shared" si="13"/>
        <v>0</v>
      </c>
      <c r="H140" s="144" t="s">
        <v>433</v>
      </c>
      <c r="I140" s="153">
        <v>2673190</v>
      </c>
      <c r="J140" s="137" t="s">
        <v>239</v>
      </c>
      <c r="K140" s="319">
        <v>0.6</v>
      </c>
      <c r="L140" s="139" t="s">
        <v>106</v>
      </c>
      <c r="M140" s="140">
        <v>1</v>
      </c>
      <c r="N140" s="139" t="s">
        <v>652</v>
      </c>
      <c r="O140" s="136">
        <f t="shared" si="19"/>
        <v>1603914</v>
      </c>
      <c r="P140" s="580"/>
    </row>
    <row r="141" spans="1:16" ht="14.1" customHeight="1" x14ac:dyDescent="0.15">
      <c r="A141" s="293"/>
      <c r="B141" s="293"/>
      <c r="C141" s="511"/>
      <c r="D141" s="312"/>
      <c r="E141" s="223"/>
      <c r="F141" s="223"/>
      <c r="G141" s="223">
        <f t="shared" si="13"/>
        <v>0</v>
      </c>
      <c r="H141" s="144" t="s">
        <v>492</v>
      </c>
      <c r="I141" s="153">
        <v>2311000</v>
      </c>
      <c r="J141" s="137" t="s">
        <v>239</v>
      </c>
      <c r="K141" s="319">
        <v>0.6</v>
      </c>
      <c r="L141" s="139" t="s">
        <v>106</v>
      </c>
      <c r="M141" s="140">
        <v>1</v>
      </c>
      <c r="N141" s="139" t="s">
        <v>652</v>
      </c>
      <c r="O141" s="136">
        <f t="shared" si="19"/>
        <v>1386600</v>
      </c>
      <c r="P141" s="580"/>
    </row>
    <row r="142" spans="1:16" ht="14.1" customHeight="1" x14ac:dyDescent="0.15">
      <c r="A142" s="293"/>
      <c r="B142" s="293"/>
      <c r="C142" s="511"/>
      <c r="D142" s="312"/>
      <c r="E142" s="223"/>
      <c r="F142" s="223"/>
      <c r="G142" s="223">
        <f t="shared" si="13"/>
        <v>0</v>
      </c>
      <c r="H142" s="144" t="s">
        <v>493</v>
      </c>
      <c r="I142" s="153">
        <v>2383000</v>
      </c>
      <c r="J142" s="137" t="s">
        <v>239</v>
      </c>
      <c r="K142" s="319">
        <v>0.6</v>
      </c>
      <c r="L142" s="139" t="s">
        <v>106</v>
      </c>
      <c r="M142" s="140">
        <v>1</v>
      </c>
      <c r="N142" s="139" t="s">
        <v>652</v>
      </c>
      <c r="O142" s="136">
        <f t="shared" si="19"/>
        <v>1429800</v>
      </c>
      <c r="P142" s="580"/>
    </row>
    <row r="143" spans="1:16" ht="14.1" customHeight="1" x14ac:dyDescent="0.15">
      <c r="A143" s="293"/>
      <c r="B143" s="293"/>
      <c r="C143" s="511"/>
      <c r="D143" s="312"/>
      <c r="E143" s="223"/>
      <c r="F143" s="223"/>
      <c r="G143" s="223">
        <f t="shared" si="13"/>
        <v>0</v>
      </c>
      <c r="H143" s="144" t="s">
        <v>478</v>
      </c>
      <c r="I143" s="153">
        <v>2810000</v>
      </c>
      <c r="J143" s="137" t="s">
        <v>239</v>
      </c>
      <c r="K143" s="319">
        <v>0.6</v>
      </c>
      <c r="L143" s="139" t="s">
        <v>106</v>
      </c>
      <c r="M143" s="140">
        <v>2</v>
      </c>
      <c r="N143" s="139" t="s">
        <v>652</v>
      </c>
      <c r="O143" s="136">
        <f t="shared" si="19"/>
        <v>3372000</v>
      </c>
      <c r="P143" s="580"/>
    </row>
    <row r="144" spans="1:16" ht="14.1" customHeight="1" x14ac:dyDescent="0.15">
      <c r="A144" s="293"/>
      <c r="B144" s="293"/>
      <c r="C144" s="511"/>
      <c r="D144" s="312"/>
      <c r="E144" s="223"/>
      <c r="F144" s="223"/>
      <c r="G144" s="223"/>
      <c r="H144" s="144" t="s">
        <v>480</v>
      </c>
      <c r="I144" s="153">
        <v>2906000</v>
      </c>
      <c r="J144" s="137" t="s">
        <v>239</v>
      </c>
      <c r="K144" s="319">
        <v>15</v>
      </c>
      <c r="L144" s="139" t="s">
        <v>644</v>
      </c>
      <c r="M144" s="140">
        <v>12</v>
      </c>
      <c r="N144" s="139" t="s">
        <v>599</v>
      </c>
      <c r="O144" s="136">
        <f>ROUNDDOWN(I144*0.00478*1.5*15*M144, -1)</f>
        <v>3750480</v>
      </c>
      <c r="P144" s="580"/>
    </row>
    <row r="145" spans="1:16" ht="14.1" customHeight="1" x14ac:dyDescent="0.15">
      <c r="A145" s="293"/>
      <c r="B145" s="293"/>
      <c r="C145" s="511"/>
      <c r="D145" s="312"/>
      <c r="E145" s="223"/>
      <c r="F145" s="223"/>
      <c r="G145" s="223">
        <f t="shared" si="13"/>
        <v>0</v>
      </c>
      <c r="H145" s="144" t="s">
        <v>494</v>
      </c>
      <c r="I145" s="153">
        <v>2383000</v>
      </c>
      <c r="J145" s="137" t="s">
        <v>239</v>
      </c>
      <c r="K145" s="319">
        <v>0.6</v>
      </c>
      <c r="L145" s="139" t="s">
        <v>106</v>
      </c>
      <c r="M145" s="140">
        <v>2</v>
      </c>
      <c r="N145" s="139" t="s">
        <v>652</v>
      </c>
      <c r="O145" s="136">
        <f t="shared" si="19"/>
        <v>2859600</v>
      </c>
      <c r="P145" s="580"/>
    </row>
    <row r="146" spans="1:16" ht="14.1" customHeight="1" x14ac:dyDescent="0.15">
      <c r="A146" s="293"/>
      <c r="B146" s="293"/>
      <c r="C146" s="511"/>
      <c r="D146" s="312"/>
      <c r="E146" s="223"/>
      <c r="F146" s="223"/>
      <c r="G146" s="223">
        <f t="shared" si="13"/>
        <v>0</v>
      </c>
      <c r="H146" s="144" t="s">
        <v>495</v>
      </c>
      <c r="I146" s="153">
        <v>2539000</v>
      </c>
      <c r="J146" s="137" t="s">
        <v>239</v>
      </c>
      <c r="K146" s="319">
        <v>0.6</v>
      </c>
      <c r="L146" s="139" t="s">
        <v>106</v>
      </c>
      <c r="M146" s="140">
        <v>1</v>
      </c>
      <c r="N146" s="139" t="s">
        <v>652</v>
      </c>
      <c r="O146" s="136">
        <f t="shared" si="19"/>
        <v>1523400</v>
      </c>
      <c r="P146" s="580"/>
    </row>
    <row r="147" spans="1:16" ht="14.1" customHeight="1" x14ac:dyDescent="0.15">
      <c r="A147" s="293"/>
      <c r="B147" s="293"/>
      <c r="C147" s="511"/>
      <c r="D147" s="312"/>
      <c r="E147" s="223"/>
      <c r="F147" s="223"/>
      <c r="G147" s="223">
        <f t="shared" si="13"/>
        <v>0</v>
      </c>
      <c r="H147" s="144" t="s">
        <v>496</v>
      </c>
      <c r="I147" s="153">
        <v>2633000</v>
      </c>
      <c r="J147" s="137" t="s">
        <v>239</v>
      </c>
      <c r="K147" s="319">
        <v>0.6</v>
      </c>
      <c r="L147" s="139" t="s">
        <v>106</v>
      </c>
      <c r="M147" s="140">
        <v>1</v>
      </c>
      <c r="N147" s="139" t="s">
        <v>652</v>
      </c>
      <c r="O147" s="136">
        <f t="shared" si="19"/>
        <v>1579800</v>
      </c>
      <c r="P147" s="580"/>
    </row>
    <row r="148" spans="1:16" ht="14.1" customHeight="1" x14ac:dyDescent="0.15">
      <c r="A148" s="293"/>
      <c r="B148" s="293"/>
      <c r="C148" s="511"/>
      <c r="D148" s="312"/>
      <c r="E148" s="223"/>
      <c r="F148" s="223"/>
      <c r="G148" s="223">
        <f t="shared" si="13"/>
        <v>0</v>
      </c>
      <c r="H148" s="144" t="s">
        <v>497</v>
      </c>
      <c r="I148" s="153">
        <v>2633000</v>
      </c>
      <c r="J148" s="137" t="s">
        <v>239</v>
      </c>
      <c r="K148" s="319">
        <v>0.6</v>
      </c>
      <c r="L148" s="139" t="s">
        <v>106</v>
      </c>
      <c r="M148" s="140">
        <v>1</v>
      </c>
      <c r="N148" s="139" t="s">
        <v>652</v>
      </c>
      <c r="O148" s="136">
        <f t="shared" si="19"/>
        <v>1579800</v>
      </c>
      <c r="P148" s="580"/>
    </row>
    <row r="149" spans="1:16" ht="14.1" customHeight="1" x14ac:dyDescent="0.15">
      <c r="A149" s="293"/>
      <c r="B149" s="293"/>
      <c r="C149" s="511"/>
      <c r="D149" s="312"/>
      <c r="E149" s="223"/>
      <c r="F149" s="223"/>
      <c r="G149" s="223"/>
      <c r="H149" s="144" t="s">
        <v>498</v>
      </c>
      <c r="I149" s="153">
        <v>2674000</v>
      </c>
      <c r="J149" s="137" t="s">
        <v>239</v>
      </c>
      <c r="K149" s="319">
        <v>0.6</v>
      </c>
      <c r="L149" s="139" t="s">
        <v>106</v>
      </c>
      <c r="M149" s="140">
        <v>1</v>
      </c>
      <c r="N149" s="139" t="s">
        <v>652</v>
      </c>
      <c r="O149" s="136">
        <f t="shared" si="19"/>
        <v>1604400</v>
      </c>
      <c r="P149" s="580"/>
    </row>
    <row r="150" spans="1:16" ht="14.1" customHeight="1" x14ac:dyDescent="0.15">
      <c r="A150" s="293"/>
      <c r="B150" s="293"/>
      <c r="C150" s="511"/>
      <c r="D150" s="312"/>
      <c r="E150" s="223"/>
      <c r="F150" s="223"/>
      <c r="G150" s="223"/>
      <c r="H150" s="144" t="s">
        <v>482</v>
      </c>
      <c r="I150" s="153">
        <v>2638000</v>
      </c>
      <c r="J150" s="137" t="s">
        <v>239</v>
      </c>
      <c r="K150" s="319">
        <v>0.6</v>
      </c>
      <c r="L150" s="139" t="s">
        <v>106</v>
      </c>
      <c r="M150" s="140">
        <v>1</v>
      </c>
      <c r="N150" s="139" t="s">
        <v>652</v>
      </c>
      <c r="O150" s="136">
        <f t="shared" si="19"/>
        <v>1582800</v>
      </c>
      <c r="P150" s="580"/>
    </row>
    <row r="151" spans="1:16" ht="14.1" customHeight="1" x14ac:dyDescent="0.15">
      <c r="A151" s="293"/>
      <c r="B151" s="293"/>
      <c r="C151" s="511"/>
      <c r="D151" s="312"/>
      <c r="E151" s="223"/>
      <c r="F151" s="223"/>
      <c r="G151" s="223"/>
      <c r="H151" s="144" t="s">
        <v>483</v>
      </c>
      <c r="I151" s="153">
        <v>2687000</v>
      </c>
      <c r="J151" s="137" t="s">
        <v>239</v>
      </c>
      <c r="K151" s="319">
        <v>0.6</v>
      </c>
      <c r="L151" s="139" t="s">
        <v>106</v>
      </c>
      <c r="M151" s="140">
        <v>1</v>
      </c>
      <c r="N151" s="139" t="s">
        <v>652</v>
      </c>
      <c r="O151" s="136">
        <f t="shared" si="19"/>
        <v>1612200</v>
      </c>
      <c r="P151" s="580"/>
    </row>
    <row r="152" spans="1:16" ht="14.1" customHeight="1" x14ac:dyDescent="0.15">
      <c r="A152" s="293"/>
      <c r="B152" s="293"/>
      <c r="C152" s="511"/>
      <c r="D152" s="312"/>
      <c r="E152" s="223"/>
      <c r="F152" s="223"/>
      <c r="G152" s="223"/>
      <c r="H152" s="144" t="s">
        <v>484</v>
      </c>
      <c r="I152" s="153">
        <v>2589000</v>
      </c>
      <c r="J152" s="137" t="s">
        <v>239</v>
      </c>
      <c r="K152" s="319">
        <v>0.6</v>
      </c>
      <c r="L152" s="139" t="s">
        <v>106</v>
      </c>
      <c r="M152" s="140">
        <v>1</v>
      </c>
      <c r="N152" s="139" t="s">
        <v>652</v>
      </c>
      <c r="O152" s="136">
        <f t="shared" si="19"/>
        <v>1553400</v>
      </c>
      <c r="P152" s="580"/>
    </row>
    <row r="153" spans="1:16" ht="14.1" customHeight="1" x14ac:dyDescent="0.15">
      <c r="A153" s="293"/>
      <c r="B153" s="293"/>
      <c r="C153" s="511"/>
      <c r="D153" s="312"/>
      <c r="E153" s="223"/>
      <c r="F153" s="223"/>
      <c r="G153" s="223"/>
      <c r="H153" s="144" t="s">
        <v>485</v>
      </c>
      <c r="I153" s="328">
        <v>2638000</v>
      </c>
      <c r="J153" s="215" t="s">
        <v>239</v>
      </c>
      <c r="K153" s="330">
        <v>0.6</v>
      </c>
      <c r="L153" s="329" t="s">
        <v>106</v>
      </c>
      <c r="M153" s="216">
        <v>1</v>
      </c>
      <c r="N153" s="329" t="s">
        <v>652</v>
      </c>
      <c r="O153" s="136">
        <f t="shared" si="19"/>
        <v>1582800</v>
      </c>
      <c r="P153" s="580"/>
    </row>
    <row r="154" spans="1:16" ht="14.1" customHeight="1" x14ac:dyDescent="0.15">
      <c r="A154" s="293"/>
      <c r="B154" s="293"/>
      <c r="C154" s="511"/>
      <c r="D154" s="312"/>
      <c r="E154" s="223"/>
      <c r="F154" s="223"/>
      <c r="G154" s="223">
        <f t="shared" si="13"/>
        <v>0</v>
      </c>
      <c r="H154" s="144" t="s">
        <v>653</v>
      </c>
      <c r="I154" s="153">
        <v>2433600</v>
      </c>
      <c r="J154" s="137" t="s">
        <v>239</v>
      </c>
      <c r="K154" s="319">
        <v>0.6</v>
      </c>
      <c r="L154" s="139" t="s">
        <v>106</v>
      </c>
      <c r="M154" s="140">
        <v>1</v>
      </c>
      <c r="N154" s="139" t="s">
        <v>652</v>
      </c>
      <c r="O154" s="136">
        <f t="shared" si="19"/>
        <v>1460160</v>
      </c>
      <c r="P154" s="580"/>
    </row>
    <row r="155" spans="1:16" ht="14.1" customHeight="1" x14ac:dyDescent="0.15">
      <c r="A155" s="293"/>
      <c r="B155" s="293"/>
      <c r="C155" s="511"/>
      <c r="D155" s="312"/>
      <c r="E155" s="223"/>
      <c r="F155" s="223"/>
      <c r="G155" s="223">
        <f t="shared" si="13"/>
        <v>0</v>
      </c>
      <c r="H155" s="327" t="s">
        <v>654</v>
      </c>
      <c r="I155" s="170">
        <v>2509150</v>
      </c>
      <c r="J155" s="148" t="s">
        <v>239</v>
      </c>
      <c r="K155" s="272">
        <v>0.6</v>
      </c>
      <c r="L155" s="150" t="s">
        <v>106</v>
      </c>
      <c r="M155" s="151">
        <v>1</v>
      </c>
      <c r="N155" s="150" t="s">
        <v>652</v>
      </c>
      <c r="O155" s="142">
        <f t="shared" si="19"/>
        <v>1505490</v>
      </c>
      <c r="P155" s="580"/>
    </row>
    <row r="156" spans="1:16" ht="14.1" customHeight="1" x14ac:dyDescent="0.15">
      <c r="A156" s="293"/>
      <c r="B156" s="293"/>
      <c r="C156" s="511"/>
      <c r="D156" s="312"/>
      <c r="E156" s="223"/>
      <c r="F156" s="223"/>
      <c r="G156" s="223">
        <f t="shared" si="13"/>
        <v>0</v>
      </c>
      <c r="H156" s="331" t="s">
        <v>655</v>
      </c>
      <c r="I156" s="192">
        <v>100000</v>
      </c>
      <c r="J156" s="332" t="s">
        <v>613</v>
      </c>
      <c r="K156" s="333">
        <v>13</v>
      </c>
      <c r="L156" s="334" t="s">
        <v>614</v>
      </c>
      <c r="M156" s="335">
        <v>12</v>
      </c>
      <c r="N156" s="334" t="s">
        <v>609</v>
      </c>
      <c r="O156" s="143">
        <f t="shared" si="19"/>
        <v>15600000</v>
      </c>
    </row>
    <row r="157" spans="1:16" ht="14.1" customHeight="1" x14ac:dyDescent="0.15">
      <c r="A157" s="293"/>
      <c r="B157" s="293"/>
      <c r="C157" s="511"/>
      <c r="D157" s="312"/>
      <c r="E157" s="223"/>
      <c r="F157" s="223"/>
      <c r="G157" s="223"/>
      <c r="H157" s="331" t="s">
        <v>656</v>
      </c>
      <c r="I157" s="192">
        <v>100000</v>
      </c>
      <c r="J157" s="332" t="s">
        <v>613</v>
      </c>
      <c r="K157" s="333">
        <v>1</v>
      </c>
      <c r="L157" s="334" t="s">
        <v>614</v>
      </c>
      <c r="M157" s="335">
        <v>12</v>
      </c>
      <c r="N157" s="334" t="s">
        <v>609</v>
      </c>
      <c r="O157" s="143">
        <f t="shared" si="19"/>
        <v>1200000</v>
      </c>
    </row>
    <row r="158" spans="1:16" ht="14.1" customHeight="1" x14ac:dyDescent="0.15">
      <c r="A158" s="293"/>
      <c r="B158" s="293"/>
      <c r="C158" s="511"/>
      <c r="D158" s="312"/>
      <c r="E158" s="223"/>
      <c r="F158" s="223"/>
      <c r="G158" s="223">
        <f t="shared" si="13"/>
        <v>0</v>
      </c>
      <c r="H158" s="331" t="s">
        <v>657</v>
      </c>
      <c r="I158" s="192">
        <v>200000</v>
      </c>
      <c r="J158" s="332" t="s">
        <v>613</v>
      </c>
      <c r="K158" s="333">
        <v>1</v>
      </c>
      <c r="L158" s="334" t="s">
        <v>614</v>
      </c>
      <c r="M158" s="335">
        <v>12</v>
      </c>
      <c r="N158" s="334" t="s">
        <v>609</v>
      </c>
      <c r="O158" s="143">
        <f t="shared" si="19"/>
        <v>2400000</v>
      </c>
    </row>
    <row r="159" spans="1:16" ht="13.7" customHeight="1" x14ac:dyDescent="0.15">
      <c r="A159" s="293"/>
      <c r="B159" s="293"/>
      <c r="C159" s="511"/>
      <c r="D159" s="312"/>
      <c r="E159" s="223"/>
      <c r="F159" s="223"/>
      <c r="G159" s="223">
        <f t="shared" si="13"/>
        <v>0</v>
      </c>
      <c r="H159" s="764" t="s">
        <v>658</v>
      </c>
      <c r="I159" s="765"/>
      <c r="J159" s="218"/>
      <c r="K159" s="324"/>
      <c r="L159" s="318"/>
      <c r="M159" s="325"/>
      <c r="N159" s="318"/>
      <c r="O159" s="141">
        <f>SUM(O160,O164,O168,O170,O192)</f>
        <v>4200000</v>
      </c>
    </row>
    <row r="160" spans="1:16" ht="13.7" customHeight="1" x14ac:dyDescent="0.15">
      <c r="A160" s="293"/>
      <c r="B160" s="293"/>
      <c r="C160" s="511"/>
      <c r="D160" s="312"/>
      <c r="E160" s="223"/>
      <c r="F160" s="223"/>
      <c r="G160" s="223">
        <f t="shared" si="13"/>
        <v>0</v>
      </c>
      <c r="H160" s="760" t="s">
        <v>659</v>
      </c>
      <c r="I160" s="761"/>
      <c r="J160" s="218"/>
      <c r="K160" s="324"/>
      <c r="L160" s="318"/>
      <c r="M160" s="325"/>
      <c r="N160" s="318"/>
      <c r="O160" s="141">
        <f>SUM(O161:O163)</f>
        <v>4200000</v>
      </c>
    </row>
    <row r="161" spans="1:15" ht="13.7" customHeight="1" x14ac:dyDescent="0.15">
      <c r="A161" s="293"/>
      <c r="B161" s="293"/>
      <c r="C161" s="511"/>
      <c r="D161" s="512"/>
      <c r="E161" s="223"/>
      <c r="F161" s="223"/>
      <c r="G161" s="223">
        <f t="shared" si="13"/>
        <v>0</v>
      </c>
      <c r="H161" s="593" t="s">
        <v>660</v>
      </c>
      <c r="I161" s="145">
        <v>0</v>
      </c>
      <c r="J161" s="137" t="s">
        <v>613</v>
      </c>
      <c r="K161" s="138" t="s">
        <v>661</v>
      </c>
      <c r="L161" s="139" t="s">
        <v>614</v>
      </c>
      <c r="M161" s="140">
        <v>5</v>
      </c>
      <c r="N161" s="139" t="s">
        <v>609</v>
      </c>
      <c r="O161" s="136">
        <f t="shared" ref="O161" si="20">SUM(I161*K161*M161)</f>
        <v>0</v>
      </c>
    </row>
    <row r="162" spans="1:15" ht="13.7" customHeight="1" x14ac:dyDescent="0.15">
      <c r="A162" s="293"/>
      <c r="B162" s="293"/>
      <c r="C162" s="511"/>
      <c r="D162" s="512"/>
      <c r="E162" s="223"/>
      <c r="F162" s="223"/>
      <c r="G162" s="223">
        <f t="shared" si="13"/>
        <v>0</v>
      </c>
      <c r="H162" s="592" t="s">
        <v>662</v>
      </c>
      <c r="I162" s="145">
        <v>300000</v>
      </c>
      <c r="J162" s="137" t="s">
        <v>613</v>
      </c>
      <c r="K162" s="138" t="s">
        <v>661</v>
      </c>
      <c r="L162" s="139" t="s">
        <v>614</v>
      </c>
      <c r="M162" s="140">
        <v>12</v>
      </c>
      <c r="N162" s="139" t="s">
        <v>609</v>
      </c>
      <c r="O162" s="136">
        <f>SUM(I162*K162*M162)</f>
        <v>3600000</v>
      </c>
    </row>
    <row r="163" spans="1:15" ht="13.7" customHeight="1" x14ac:dyDescent="0.15">
      <c r="A163" s="293"/>
      <c r="B163" s="293"/>
      <c r="C163" s="511"/>
      <c r="D163" s="512"/>
      <c r="E163" s="223"/>
      <c r="F163" s="223"/>
      <c r="G163" s="223">
        <f t="shared" si="13"/>
        <v>0</v>
      </c>
      <c r="H163" s="592" t="s">
        <v>663</v>
      </c>
      <c r="I163" s="145">
        <v>50000</v>
      </c>
      <c r="J163" s="137" t="s">
        <v>613</v>
      </c>
      <c r="K163" s="138" t="s">
        <v>661</v>
      </c>
      <c r="L163" s="139" t="s">
        <v>614</v>
      </c>
      <c r="M163" s="140">
        <v>12</v>
      </c>
      <c r="N163" s="139" t="s">
        <v>609</v>
      </c>
      <c r="O163" s="136">
        <f>SUM(I163*K163*M163)</f>
        <v>600000</v>
      </c>
    </row>
    <row r="164" spans="1:15" ht="13.7" customHeight="1" x14ac:dyDescent="0.15">
      <c r="A164" s="293"/>
      <c r="B164" s="293"/>
      <c r="C164" s="511"/>
      <c r="D164" s="512"/>
      <c r="E164" s="223"/>
      <c r="F164" s="223"/>
      <c r="G164" s="223">
        <f t="shared" si="13"/>
        <v>0</v>
      </c>
      <c r="H164" s="760" t="s">
        <v>664</v>
      </c>
      <c r="I164" s="761"/>
      <c r="J164" s="218"/>
      <c r="K164" s="324"/>
      <c r="L164" s="318"/>
      <c r="M164" s="325"/>
      <c r="N164" s="318"/>
      <c r="O164" s="141">
        <f>SUM(O165:O167)</f>
        <v>0</v>
      </c>
    </row>
    <row r="165" spans="1:15" ht="13.7" customHeight="1" x14ac:dyDescent="0.15">
      <c r="A165" s="293"/>
      <c r="B165" s="293"/>
      <c r="C165" s="511"/>
      <c r="D165" s="512"/>
      <c r="E165" s="223"/>
      <c r="F165" s="223"/>
      <c r="G165" s="223">
        <f t="shared" si="13"/>
        <v>0</v>
      </c>
      <c r="H165" s="592" t="s">
        <v>665</v>
      </c>
      <c r="I165" s="145">
        <v>0</v>
      </c>
      <c r="J165" s="137" t="s">
        <v>613</v>
      </c>
      <c r="K165" s="138" t="s">
        <v>661</v>
      </c>
      <c r="L165" s="139" t="s">
        <v>614</v>
      </c>
      <c r="M165" s="140">
        <v>0</v>
      </c>
      <c r="N165" s="139" t="s">
        <v>609</v>
      </c>
      <c r="O165" s="136">
        <f t="shared" ref="O165:O167" si="21">SUM(I165*K165*M165)</f>
        <v>0</v>
      </c>
    </row>
    <row r="166" spans="1:15" ht="13.7" customHeight="1" x14ac:dyDescent="0.15">
      <c r="A166" s="293"/>
      <c r="B166" s="293"/>
      <c r="C166" s="511"/>
      <c r="D166" s="512"/>
      <c r="E166" s="223"/>
      <c r="F166" s="223"/>
      <c r="G166" s="223">
        <f t="shared" si="13"/>
        <v>0</v>
      </c>
      <c r="H166" s="593" t="s">
        <v>666</v>
      </c>
      <c r="I166" s="145">
        <v>0</v>
      </c>
      <c r="J166" s="137" t="s">
        <v>613</v>
      </c>
      <c r="K166" s="138" t="s">
        <v>661</v>
      </c>
      <c r="L166" s="139" t="s">
        <v>614</v>
      </c>
      <c r="M166" s="140">
        <v>0</v>
      </c>
      <c r="N166" s="139" t="s">
        <v>609</v>
      </c>
      <c r="O166" s="136">
        <f t="shared" si="21"/>
        <v>0</v>
      </c>
    </row>
    <row r="167" spans="1:15" ht="13.7" customHeight="1" x14ac:dyDescent="0.15">
      <c r="A167" s="293"/>
      <c r="B167" s="293"/>
      <c r="C167" s="511"/>
      <c r="D167" s="512"/>
      <c r="E167" s="223"/>
      <c r="F167" s="223"/>
      <c r="G167" s="223">
        <f t="shared" si="13"/>
        <v>0</v>
      </c>
      <c r="H167" s="227" t="s">
        <v>667</v>
      </c>
      <c r="I167" s="147">
        <v>0</v>
      </c>
      <c r="J167" s="148" t="s">
        <v>613</v>
      </c>
      <c r="K167" s="149" t="s">
        <v>668</v>
      </c>
      <c r="L167" s="150" t="s">
        <v>614</v>
      </c>
      <c r="M167" s="151">
        <v>0</v>
      </c>
      <c r="N167" s="150" t="s">
        <v>609</v>
      </c>
      <c r="O167" s="142">
        <f t="shared" si="21"/>
        <v>0</v>
      </c>
    </row>
    <row r="168" spans="1:15" ht="13.7" customHeight="1" x14ac:dyDescent="0.15">
      <c r="A168" s="293"/>
      <c r="B168" s="293"/>
      <c r="C168" s="511"/>
      <c r="D168" s="512"/>
      <c r="E168" s="223"/>
      <c r="F168" s="223"/>
      <c r="G168" s="223">
        <f t="shared" si="13"/>
        <v>0</v>
      </c>
      <c r="H168" s="760" t="s">
        <v>669</v>
      </c>
      <c r="I168" s="761"/>
      <c r="J168" s="218"/>
      <c r="K168" s="324"/>
      <c r="L168" s="318"/>
      <c r="M168" s="325"/>
      <c r="N168" s="318"/>
      <c r="O168" s="141">
        <f>SUM(O169:O169)</f>
        <v>0</v>
      </c>
    </row>
    <row r="169" spans="1:15" ht="13.7" customHeight="1" x14ac:dyDescent="0.15">
      <c r="A169" s="293"/>
      <c r="B169" s="293"/>
      <c r="C169" s="511"/>
      <c r="D169" s="512"/>
      <c r="E169" s="223"/>
      <c r="F169" s="223"/>
      <c r="G169" s="223">
        <f t="shared" si="13"/>
        <v>0</v>
      </c>
      <c r="H169" s="227" t="s">
        <v>670</v>
      </c>
      <c r="I169" s="147">
        <v>0</v>
      </c>
      <c r="J169" s="148" t="s">
        <v>613</v>
      </c>
      <c r="K169" s="149" t="s">
        <v>661</v>
      </c>
      <c r="L169" s="150" t="s">
        <v>614</v>
      </c>
      <c r="M169" s="151">
        <v>0</v>
      </c>
      <c r="N169" s="150" t="s">
        <v>609</v>
      </c>
      <c r="O169" s="142">
        <f>SUM(I169*K169*M169)</f>
        <v>0</v>
      </c>
    </row>
    <row r="170" spans="1:15" ht="14.1" customHeight="1" x14ac:dyDescent="0.15">
      <c r="A170" s="293"/>
      <c r="B170" s="293"/>
      <c r="C170" s="511"/>
      <c r="D170" s="512"/>
      <c r="E170" s="223"/>
      <c r="F170" s="223"/>
      <c r="G170" s="223">
        <f t="shared" si="13"/>
        <v>0</v>
      </c>
      <c r="H170" s="764" t="s">
        <v>671</v>
      </c>
      <c r="I170" s="765"/>
      <c r="J170" s="314"/>
      <c r="K170" s="315"/>
      <c r="L170" s="316"/>
      <c r="M170" s="317"/>
      <c r="N170" s="316"/>
      <c r="O170" s="209">
        <f>SUM(O171:O191)</f>
        <v>0</v>
      </c>
    </row>
    <row r="171" spans="1:15" ht="14.1" customHeight="1" x14ac:dyDescent="0.15">
      <c r="A171" s="293"/>
      <c r="B171" s="293"/>
      <c r="C171" s="511"/>
      <c r="D171" s="512"/>
      <c r="E171" s="223"/>
      <c r="F171" s="223"/>
      <c r="G171" s="223">
        <f t="shared" si="13"/>
        <v>0</v>
      </c>
      <c r="H171" s="593" t="s">
        <v>672</v>
      </c>
      <c r="I171" s="153">
        <v>2900100</v>
      </c>
      <c r="J171" s="137" t="s">
        <v>613</v>
      </c>
      <c r="K171" s="138" t="s">
        <v>673</v>
      </c>
      <c r="L171" s="139" t="s">
        <v>674</v>
      </c>
      <c r="M171" s="140">
        <v>0</v>
      </c>
      <c r="N171" s="139" t="s">
        <v>609</v>
      </c>
      <c r="O171" s="136">
        <f>ROUNDDOWN(I171*0.00478*1.5*10*M171, -1)</f>
        <v>0</v>
      </c>
    </row>
    <row r="172" spans="1:15" ht="14.1" customHeight="1" x14ac:dyDescent="0.15">
      <c r="A172" s="293"/>
      <c r="B172" s="293"/>
      <c r="C172" s="511"/>
      <c r="D172" s="512"/>
      <c r="E172" s="223"/>
      <c r="F172" s="223"/>
      <c r="G172" s="223">
        <f t="shared" si="13"/>
        <v>0</v>
      </c>
      <c r="H172" s="593" t="s">
        <v>675</v>
      </c>
      <c r="I172" s="153">
        <v>2989350</v>
      </c>
      <c r="J172" s="137" t="s">
        <v>613</v>
      </c>
      <c r="K172" s="138" t="s">
        <v>673</v>
      </c>
      <c r="L172" s="139" t="s">
        <v>674</v>
      </c>
      <c r="M172" s="140">
        <v>0</v>
      </c>
      <c r="N172" s="139" t="s">
        <v>609</v>
      </c>
      <c r="O172" s="136">
        <f t="shared" ref="O172:O191" si="22">ROUNDDOWN(I172*0.00478*1.5*10*M172, -1)</f>
        <v>0</v>
      </c>
    </row>
    <row r="173" spans="1:15" ht="14.1" customHeight="1" x14ac:dyDescent="0.15">
      <c r="A173" s="293"/>
      <c r="B173" s="293"/>
      <c r="C173" s="511"/>
      <c r="D173" s="512"/>
      <c r="E173" s="223"/>
      <c r="F173" s="223"/>
      <c r="G173" s="223">
        <f t="shared" si="13"/>
        <v>0</v>
      </c>
      <c r="H173" s="592" t="s">
        <v>676</v>
      </c>
      <c r="I173" s="153">
        <v>2922150</v>
      </c>
      <c r="J173" s="137" t="s">
        <v>613</v>
      </c>
      <c r="K173" s="138" t="s">
        <v>673</v>
      </c>
      <c r="L173" s="139" t="s">
        <v>674</v>
      </c>
      <c r="M173" s="140">
        <v>0</v>
      </c>
      <c r="N173" s="139" t="s">
        <v>609</v>
      </c>
      <c r="O173" s="136">
        <f t="shared" si="22"/>
        <v>0</v>
      </c>
    </row>
    <row r="174" spans="1:15" ht="14.1" customHeight="1" x14ac:dyDescent="0.15">
      <c r="A174" s="293"/>
      <c r="B174" s="293"/>
      <c r="C174" s="511"/>
      <c r="D174" s="312"/>
      <c r="E174" s="223"/>
      <c r="F174" s="223"/>
      <c r="G174" s="223">
        <f t="shared" si="13"/>
        <v>0</v>
      </c>
      <c r="H174" s="592" t="s">
        <v>677</v>
      </c>
      <c r="I174" s="153">
        <v>2958900</v>
      </c>
      <c r="J174" s="137" t="s">
        <v>613</v>
      </c>
      <c r="K174" s="138" t="s">
        <v>673</v>
      </c>
      <c r="L174" s="139" t="s">
        <v>674</v>
      </c>
      <c r="M174" s="140">
        <v>0</v>
      </c>
      <c r="N174" s="139" t="s">
        <v>609</v>
      </c>
      <c r="O174" s="136">
        <f t="shared" si="22"/>
        <v>0</v>
      </c>
    </row>
    <row r="175" spans="1:15" ht="14.1" customHeight="1" x14ac:dyDescent="0.15">
      <c r="A175" s="293"/>
      <c r="B175" s="293"/>
      <c r="C175" s="511"/>
      <c r="D175" s="312"/>
      <c r="E175" s="223"/>
      <c r="F175" s="223"/>
      <c r="G175" s="223">
        <f t="shared" si="13"/>
        <v>0</v>
      </c>
      <c r="H175" s="592" t="s">
        <v>678</v>
      </c>
      <c r="I175" s="153">
        <v>3061800</v>
      </c>
      <c r="J175" s="137" t="s">
        <v>613</v>
      </c>
      <c r="K175" s="138" t="s">
        <v>673</v>
      </c>
      <c r="L175" s="139" t="s">
        <v>674</v>
      </c>
      <c r="M175" s="140">
        <v>0</v>
      </c>
      <c r="N175" s="139" t="s">
        <v>609</v>
      </c>
      <c r="O175" s="136">
        <f t="shared" si="22"/>
        <v>0</v>
      </c>
    </row>
    <row r="176" spans="1:15" ht="14.1" customHeight="1" x14ac:dyDescent="0.15">
      <c r="A176" s="293"/>
      <c r="B176" s="293"/>
      <c r="C176" s="511"/>
      <c r="D176" s="312"/>
      <c r="E176" s="223"/>
      <c r="F176" s="223"/>
      <c r="G176" s="223">
        <f t="shared" si="13"/>
        <v>0</v>
      </c>
      <c r="H176" s="592" t="s">
        <v>679</v>
      </c>
      <c r="I176" s="153">
        <v>3111150</v>
      </c>
      <c r="J176" s="137" t="s">
        <v>613</v>
      </c>
      <c r="K176" s="138" t="s">
        <v>673</v>
      </c>
      <c r="L176" s="139" t="s">
        <v>674</v>
      </c>
      <c r="M176" s="140">
        <v>0</v>
      </c>
      <c r="N176" s="139" t="s">
        <v>609</v>
      </c>
      <c r="O176" s="136">
        <f t="shared" si="22"/>
        <v>0</v>
      </c>
    </row>
    <row r="177" spans="1:15" ht="14.1" customHeight="1" x14ac:dyDescent="0.15">
      <c r="A177" s="293"/>
      <c r="B177" s="293"/>
      <c r="C177" s="511"/>
      <c r="D177" s="312"/>
      <c r="E177" s="223"/>
      <c r="F177" s="223"/>
      <c r="G177" s="223">
        <f t="shared" si="13"/>
        <v>0</v>
      </c>
      <c r="H177" s="592" t="s">
        <v>680</v>
      </c>
      <c r="I177" s="153">
        <v>3111150</v>
      </c>
      <c r="J177" s="137" t="s">
        <v>613</v>
      </c>
      <c r="K177" s="138" t="s">
        <v>673</v>
      </c>
      <c r="L177" s="139" t="s">
        <v>674</v>
      </c>
      <c r="M177" s="140">
        <v>0</v>
      </c>
      <c r="N177" s="139" t="s">
        <v>609</v>
      </c>
      <c r="O177" s="136">
        <f t="shared" si="22"/>
        <v>0</v>
      </c>
    </row>
    <row r="178" spans="1:15" ht="14.1" customHeight="1" x14ac:dyDescent="0.15">
      <c r="A178" s="293"/>
      <c r="B178" s="293"/>
      <c r="C178" s="511"/>
      <c r="D178" s="312"/>
      <c r="E178" s="223"/>
      <c r="F178" s="223"/>
      <c r="G178" s="223">
        <f t="shared" si="13"/>
        <v>0</v>
      </c>
      <c r="H178" s="592" t="s">
        <v>681</v>
      </c>
      <c r="I178" s="153">
        <v>3159450</v>
      </c>
      <c r="J178" s="137" t="s">
        <v>601</v>
      </c>
      <c r="K178" s="138" t="s">
        <v>108</v>
      </c>
      <c r="L178" s="139" t="s">
        <v>644</v>
      </c>
      <c r="M178" s="140">
        <v>0</v>
      </c>
      <c r="N178" s="139" t="s">
        <v>599</v>
      </c>
      <c r="O178" s="136">
        <f t="shared" si="22"/>
        <v>0</v>
      </c>
    </row>
    <row r="179" spans="1:15" ht="14.1" customHeight="1" x14ac:dyDescent="0.15">
      <c r="A179" s="293"/>
      <c r="B179" s="293"/>
      <c r="C179" s="511"/>
      <c r="D179" s="312"/>
      <c r="E179" s="223"/>
      <c r="F179" s="223"/>
      <c r="G179" s="223">
        <f t="shared" si="13"/>
        <v>0</v>
      </c>
      <c r="H179" s="592" t="s">
        <v>682</v>
      </c>
      <c r="I179" s="153">
        <v>2484300</v>
      </c>
      <c r="J179" s="137" t="s">
        <v>601</v>
      </c>
      <c r="K179" s="138" t="s">
        <v>108</v>
      </c>
      <c r="L179" s="139" t="s">
        <v>644</v>
      </c>
      <c r="M179" s="140">
        <v>0</v>
      </c>
      <c r="N179" s="139" t="s">
        <v>599</v>
      </c>
      <c r="O179" s="136">
        <f t="shared" si="22"/>
        <v>0</v>
      </c>
    </row>
    <row r="180" spans="1:15" ht="14.1" customHeight="1" x14ac:dyDescent="0.15">
      <c r="A180" s="293"/>
      <c r="B180" s="293"/>
      <c r="C180" s="511"/>
      <c r="D180" s="312"/>
      <c r="E180" s="223"/>
      <c r="F180" s="223"/>
      <c r="G180" s="223">
        <f t="shared" si="13"/>
        <v>0</v>
      </c>
      <c r="H180" s="592" t="s">
        <v>683</v>
      </c>
      <c r="I180" s="153">
        <v>2245950</v>
      </c>
      <c r="J180" s="137" t="s">
        <v>601</v>
      </c>
      <c r="K180" s="138" t="s">
        <v>108</v>
      </c>
      <c r="L180" s="139" t="s">
        <v>644</v>
      </c>
      <c r="M180" s="140">
        <v>0</v>
      </c>
      <c r="N180" s="139" t="s">
        <v>599</v>
      </c>
      <c r="O180" s="136">
        <f t="shared" si="22"/>
        <v>0</v>
      </c>
    </row>
    <row r="181" spans="1:15" ht="14.1" customHeight="1" x14ac:dyDescent="0.15">
      <c r="A181" s="293"/>
      <c r="B181" s="293"/>
      <c r="C181" s="511"/>
      <c r="D181" s="312"/>
      <c r="E181" s="223"/>
      <c r="F181" s="223"/>
      <c r="G181" s="223">
        <f t="shared" si="13"/>
        <v>0</v>
      </c>
      <c r="H181" s="592" t="s">
        <v>684</v>
      </c>
      <c r="I181" s="153">
        <v>2484300</v>
      </c>
      <c r="J181" s="137" t="s">
        <v>601</v>
      </c>
      <c r="K181" s="138" t="s">
        <v>108</v>
      </c>
      <c r="L181" s="139" t="s">
        <v>644</v>
      </c>
      <c r="M181" s="140">
        <v>0</v>
      </c>
      <c r="N181" s="139" t="s">
        <v>599</v>
      </c>
      <c r="O181" s="136">
        <f t="shared" si="22"/>
        <v>0</v>
      </c>
    </row>
    <row r="182" spans="1:15" ht="14.1" customHeight="1" x14ac:dyDescent="0.15">
      <c r="A182" s="293"/>
      <c r="B182" s="293"/>
      <c r="C182" s="511"/>
      <c r="D182" s="312"/>
      <c r="E182" s="223"/>
      <c r="F182" s="223"/>
      <c r="G182" s="223">
        <f t="shared" si="13"/>
        <v>0</v>
      </c>
      <c r="H182" s="592" t="s">
        <v>685</v>
      </c>
      <c r="I182" s="153">
        <v>2398200</v>
      </c>
      <c r="J182" s="137" t="s">
        <v>601</v>
      </c>
      <c r="K182" s="138" t="s">
        <v>108</v>
      </c>
      <c r="L182" s="139" t="s">
        <v>644</v>
      </c>
      <c r="M182" s="140">
        <v>0</v>
      </c>
      <c r="N182" s="139" t="s">
        <v>599</v>
      </c>
      <c r="O182" s="136">
        <f t="shared" si="22"/>
        <v>0</v>
      </c>
    </row>
    <row r="183" spans="1:15" ht="14.1" customHeight="1" x14ac:dyDescent="0.15">
      <c r="A183" s="293"/>
      <c r="B183" s="293"/>
      <c r="C183" s="511"/>
      <c r="D183" s="312"/>
      <c r="E183" s="223"/>
      <c r="F183" s="223"/>
      <c r="G183" s="223">
        <f t="shared" si="13"/>
        <v>0</v>
      </c>
      <c r="H183" s="592" t="s">
        <v>686</v>
      </c>
      <c r="I183" s="153">
        <v>2484300</v>
      </c>
      <c r="J183" s="137" t="s">
        <v>601</v>
      </c>
      <c r="K183" s="138" t="s">
        <v>108</v>
      </c>
      <c r="L183" s="139" t="s">
        <v>644</v>
      </c>
      <c r="M183" s="140">
        <v>0</v>
      </c>
      <c r="N183" s="139" t="s">
        <v>599</v>
      </c>
      <c r="O183" s="136">
        <f t="shared" si="22"/>
        <v>0</v>
      </c>
    </row>
    <row r="184" spans="1:15" ht="14.1" customHeight="1" x14ac:dyDescent="0.15">
      <c r="A184" s="293"/>
      <c r="B184" s="293"/>
      <c r="C184" s="511"/>
      <c r="D184" s="312"/>
      <c r="E184" s="223"/>
      <c r="F184" s="223"/>
      <c r="G184" s="223">
        <f t="shared" si="13"/>
        <v>0</v>
      </c>
      <c r="H184" s="592" t="s">
        <v>687</v>
      </c>
      <c r="I184" s="153">
        <v>2245950</v>
      </c>
      <c r="J184" s="137" t="s">
        <v>601</v>
      </c>
      <c r="K184" s="138" t="s">
        <v>108</v>
      </c>
      <c r="L184" s="139" t="s">
        <v>644</v>
      </c>
      <c r="M184" s="140">
        <v>0</v>
      </c>
      <c r="N184" s="139" t="s">
        <v>599</v>
      </c>
      <c r="O184" s="136">
        <f t="shared" si="22"/>
        <v>0</v>
      </c>
    </row>
    <row r="185" spans="1:15" ht="14.1" customHeight="1" x14ac:dyDescent="0.15">
      <c r="A185" s="293"/>
      <c r="B185" s="293"/>
      <c r="C185" s="511"/>
      <c r="D185" s="312"/>
      <c r="E185" s="223"/>
      <c r="F185" s="223"/>
      <c r="G185" s="223">
        <f t="shared" si="13"/>
        <v>0</v>
      </c>
      <c r="H185" s="592" t="s">
        <v>688</v>
      </c>
      <c r="I185" s="153">
        <v>2326800</v>
      </c>
      <c r="J185" s="137" t="s">
        <v>601</v>
      </c>
      <c r="K185" s="138" t="s">
        <v>108</v>
      </c>
      <c r="L185" s="139" t="s">
        <v>644</v>
      </c>
      <c r="M185" s="140">
        <v>0</v>
      </c>
      <c r="N185" s="139" t="s">
        <v>599</v>
      </c>
      <c r="O185" s="136">
        <f t="shared" si="22"/>
        <v>0</v>
      </c>
    </row>
    <row r="186" spans="1:15" ht="14.1" customHeight="1" x14ac:dyDescent="0.15">
      <c r="A186" s="293"/>
      <c r="B186" s="293"/>
      <c r="C186" s="511"/>
      <c r="D186" s="312"/>
      <c r="E186" s="223"/>
      <c r="F186" s="223"/>
      <c r="G186" s="223">
        <f t="shared" si="13"/>
        <v>0</v>
      </c>
      <c r="H186" s="592" t="s">
        <v>689</v>
      </c>
      <c r="I186" s="153">
        <v>2326800</v>
      </c>
      <c r="J186" s="137" t="s">
        <v>601</v>
      </c>
      <c r="K186" s="138" t="s">
        <v>108</v>
      </c>
      <c r="L186" s="139" t="s">
        <v>644</v>
      </c>
      <c r="M186" s="140">
        <v>0</v>
      </c>
      <c r="N186" s="139" t="s">
        <v>599</v>
      </c>
      <c r="O186" s="136">
        <f t="shared" si="22"/>
        <v>0</v>
      </c>
    </row>
    <row r="187" spans="1:15" ht="14.1" customHeight="1" x14ac:dyDescent="0.15">
      <c r="A187" s="293"/>
      <c r="B187" s="293"/>
      <c r="C187" s="511"/>
      <c r="D187" s="312"/>
      <c r="E187" s="223"/>
      <c r="F187" s="223"/>
      <c r="G187" s="223">
        <f t="shared" ref="G187:G259" si="23">F187-E187</f>
        <v>0</v>
      </c>
      <c r="H187" s="592" t="s">
        <v>690</v>
      </c>
      <c r="I187" s="153">
        <v>2398200</v>
      </c>
      <c r="J187" s="137" t="s">
        <v>601</v>
      </c>
      <c r="K187" s="138" t="s">
        <v>108</v>
      </c>
      <c r="L187" s="139" t="s">
        <v>644</v>
      </c>
      <c r="M187" s="140">
        <v>0</v>
      </c>
      <c r="N187" s="139" t="s">
        <v>599</v>
      </c>
      <c r="O187" s="136">
        <f t="shared" si="22"/>
        <v>0</v>
      </c>
    </row>
    <row r="188" spans="1:15" ht="14.1" customHeight="1" x14ac:dyDescent="0.15">
      <c r="A188" s="293"/>
      <c r="B188" s="293"/>
      <c r="C188" s="511"/>
      <c r="D188" s="312"/>
      <c r="E188" s="223"/>
      <c r="F188" s="223"/>
      <c r="G188" s="223">
        <f t="shared" si="23"/>
        <v>0</v>
      </c>
      <c r="H188" s="592" t="s">
        <v>691</v>
      </c>
      <c r="I188" s="153">
        <v>2520000</v>
      </c>
      <c r="J188" s="137" t="s">
        <v>601</v>
      </c>
      <c r="K188" s="138" t="s">
        <v>108</v>
      </c>
      <c r="L188" s="139" t="s">
        <v>644</v>
      </c>
      <c r="M188" s="140">
        <v>0</v>
      </c>
      <c r="N188" s="139" t="s">
        <v>599</v>
      </c>
      <c r="O188" s="136">
        <f t="shared" si="22"/>
        <v>0</v>
      </c>
    </row>
    <row r="189" spans="1:15" ht="14.1" customHeight="1" x14ac:dyDescent="0.15">
      <c r="A189" s="293"/>
      <c r="B189" s="293"/>
      <c r="C189" s="511"/>
      <c r="D189" s="312"/>
      <c r="E189" s="223"/>
      <c r="F189" s="223"/>
      <c r="G189" s="223">
        <f t="shared" si="23"/>
        <v>0</v>
      </c>
      <c r="H189" s="592" t="s">
        <v>692</v>
      </c>
      <c r="I189" s="153">
        <v>2606100</v>
      </c>
      <c r="J189" s="137" t="s">
        <v>601</v>
      </c>
      <c r="K189" s="138" t="s">
        <v>108</v>
      </c>
      <c r="L189" s="139" t="s">
        <v>644</v>
      </c>
      <c r="M189" s="140">
        <v>0</v>
      </c>
      <c r="N189" s="139" t="s">
        <v>599</v>
      </c>
      <c r="O189" s="136">
        <f t="shared" si="22"/>
        <v>0</v>
      </c>
    </row>
    <row r="190" spans="1:15" ht="14.1" customHeight="1" x14ac:dyDescent="0.15">
      <c r="A190" s="293"/>
      <c r="B190" s="293"/>
      <c r="C190" s="511"/>
      <c r="D190" s="312"/>
      <c r="E190" s="223"/>
      <c r="F190" s="223"/>
      <c r="G190" s="223">
        <f t="shared" si="23"/>
        <v>0</v>
      </c>
      <c r="H190" s="592" t="s">
        <v>693</v>
      </c>
      <c r="I190" s="153">
        <v>2448600</v>
      </c>
      <c r="J190" s="137" t="s">
        <v>601</v>
      </c>
      <c r="K190" s="138" t="s">
        <v>108</v>
      </c>
      <c r="L190" s="139" t="s">
        <v>644</v>
      </c>
      <c r="M190" s="140">
        <v>0</v>
      </c>
      <c r="N190" s="139" t="s">
        <v>599</v>
      </c>
      <c r="O190" s="136">
        <f t="shared" si="22"/>
        <v>0</v>
      </c>
    </row>
    <row r="191" spans="1:15" ht="13.7" customHeight="1" x14ac:dyDescent="0.15">
      <c r="A191" s="293"/>
      <c r="B191" s="293"/>
      <c r="C191" s="511"/>
      <c r="D191" s="312"/>
      <c r="E191" s="223"/>
      <c r="F191" s="223"/>
      <c r="G191" s="223">
        <f t="shared" si="23"/>
        <v>0</v>
      </c>
      <c r="H191" s="227" t="s">
        <v>694</v>
      </c>
      <c r="I191" s="170">
        <v>2520000</v>
      </c>
      <c r="J191" s="137" t="s">
        <v>601</v>
      </c>
      <c r="K191" s="138" t="s">
        <v>108</v>
      </c>
      <c r="L191" s="139" t="s">
        <v>644</v>
      </c>
      <c r="M191" s="140">
        <v>0</v>
      </c>
      <c r="N191" s="139" t="s">
        <v>599</v>
      </c>
      <c r="O191" s="136">
        <f t="shared" si="22"/>
        <v>0</v>
      </c>
    </row>
    <row r="192" spans="1:15" ht="13.7" customHeight="1" x14ac:dyDescent="0.15">
      <c r="A192" s="293"/>
      <c r="B192" s="293"/>
      <c r="C192" s="497"/>
      <c r="D192" s="321"/>
      <c r="E192" s="322"/>
      <c r="F192" s="322"/>
      <c r="G192" s="223">
        <f t="shared" si="23"/>
        <v>0</v>
      </c>
      <c r="H192" s="331" t="s">
        <v>695</v>
      </c>
      <c r="I192" s="192">
        <v>50000</v>
      </c>
      <c r="J192" s="332" t="s">
        <v>601</v>
      </c>
      <c r="K192" s="336" t="s">
        <v>696</v>
      </c>
      <c r="L192" s="334" t="s">
        <v>602</v>
      </c>
      <c r="M192" s="335">
        <v>0</v>
      </c>
      <c r="N192" s="334" t="s">
        <v>599</v>
      </c>
      <c r="O192" s="143">
        <f t="shared" ref="O192" si="24">SUM(I192*K192*M192)</f>
        <v>0</v>
      </c>
    </row>
    <row r="193" spans="1:19" s="303" customFormat="1" ht="13.7" customHeight="1" x14ac:dyDescent="0.15">
      <c r="A193" s="293"/>
      <c r="B193" s="293"/>
      <c r="C193" s="762" t="s">
        <v>56</v>
      </c>
      <c r="D193" s="763"/>
      <c r="E193" s="612">
        <v>50424</v>
      </c>
      <c r="F193" s="612">
        <f>O193/1000</f>
        <v>99191.5</v>
      </c>
      <c r="G193" s="612">
        <f t="shared" si="23"/>
        <v>48767.5</v>
      </c>
      <c r="H193" s="764" t="s">
        <v>111</v>
      </c>
      <c r="I193" s="765"/>
      <c r="J193" s="202"/>
      <c r="K193" s="372"/>
      <c r="L193" s="373"/>
      <c r="M193" s="204"/>
      <c r="N193" s="373"/>
      <c r="O193" s="209">
        <f>SUM(O194:O195)</f>
        <v>99191500</v>
      </c>
      <c r="P193" s="579"/>
      <c r="Q193" s="443"/>
    </row>
    <row r="194" spans="1:19" s="303" customFormat="1" ht="13.7" customHeight="1" x14ac:dyDescent="0.15">
      <c r="A194" s="293"/>
      <c r="B194" s="293"/>
      <c r="C194" s="511"/>
      <c r="D194" s="512"/>
      <c r="E194" s="223"/>
      <c r="F194" s="223"/>
      <c r="G194" s="223">
        <f t="shared" si="23"/>
        <v>0</v>
      </c>
      <c r="H194" s="507" t="s">
        <v>250</v>
      </c>
      <c r="I194" s="198">
        <v>80335</v>
      </c>
      <c r="J194" s="215" t="s">
        <v>100</v>
      </c>
      <c r="K194" s="201">
        <v>100</v>
      </c>
      <c r="L194" s="329" t="s">
        <v>195</v>
      </c>
      <c r="M194" s="201">
        <v>11</v>
      </c>
      <c r="N194" s="329" t="s">
        <v>103</v>
      </c>
      <c r="O194" s="136">
        <v>88373500</v>
      </c>
      <c r="P194" s="579"/>
      <c r="Q194" s="443"/>
    </row>
    <row r="195" spans="1:19" s="303" customFormat="1" ht="13.7" customHeight="1" x14ac:dyDescent="0.15">
      <c r="A195" s="293"/>
      <c r="B195" s="293"/>
      <c r="C195" s="497"/>
      <c r="D195" s="498"/>
      <c r="E195" s="322"/>
      <c r="F195" s="322"/>
      <c r="G195" s="322">
        <f t="shared" si="23"/>
        <v>0</v>
      </c>
      <c r="H195" s="146" t="s">
        <v>112</v>
      </c>
      <c r="I195" s="147">
        <v>6010</v>
      </c>
      <c r="J195" s="148" t="s">
        <v>100</v>
      </c>
      <c r="K195" s="513">
        <v>150</v>
      </c>
      <c r="L195" s="150" t="s">
        <v>195</v>
      </c>
      <c r="M195" s="513">
        <v>12</v>
      </c>
      <c r="N195" s="150" t="s">
        <v>103</v>
      </c>
      <c r="O195" s="142">
        <f>SUM(I195*K195*M195)</f>
        <v>10818000</v>
      </c>
      <c r="P195" s="579"/>
      <c r="Q195" s="572"/>
    </row>
    <row r="196" spans="1:19" ht="14.25" customHeight="1" x14ac:dyDescent="0.15">
      <c r="A196" s="293"/>
      <c r="B196" s="293"/>
      <c r="C196" s="766" t="s">
        <v>57</v>
      </c>
      <c r="D196" s="767"/>
      <c r="E196" s="322">
        <v>77913</v>
      </c>
      <c r="F196" s="322">
        <f t="shared" ref="F196:F203" si="25">O196/1000</f>
        <v>74011.09</v>
      </c>
      <c r="G196" s="175">
        <f t="shared" si="23"/>
        <v>-3901.9100000000035</v>
      </c>
      <c r="H196" s="346" t="s">
        <v>113</v>
      </c>
      <c r="I196" s="147">
        <f>SUM(O9,O54)</f>
        <v>925112956</v>
      </c>
      <c r="J196" s="179" t="s">
        <v>78</v>
      </c>
      <c r="K196" s="180" t="s">
        <v>106</v>
      </c>
      <c r="L196" s="768">
        <v>0.08</v>
      </c>
      <c r="M196" s="769"/>
      <c r="N196" s="190" t="s">
        <v>103</v>
      </c>
      <c r="O196" s="181">
        <f>ROUNDDOWN(I196*L196, -1)+1000+1020+40</f>
        <v>74011090</v>
      </c>
    </row>
    <row r="197" spans="1:19" ht="14.25" customHeight="1" x14ac:dyDescent="0.15">
      <c r="A197" s="293"/>
      <c r="B197" s="293"/>
      <c r="C197" s="758" t="s">
        <v>58</v>
      </c>
      <c r="D197" s="770"/>
      <c r="E197" s="295">
        <v>104107</v>
      </c>
      <c r="F197" s="295">
        <f t="shared" si="25"/>
        <v>98895.64</v>
      </c>
      <c r="G197" s="295">
        <f t="shared" si="23"/>
        <v>-5211.3600000000006</v>
      </c>
      <c r="H197" s="331" t="s">
        <v>114</v>
      </c>
      <c r="I197" s="192"/>
      <c r="J197" s="193"/>
      <c r="K197" s="338"/>
      <c r="L197" s="338"/>
      <c r="M197" s="338"/>
      <c r="N197" s="648"/>
      <c r="O197" s="143">
        <f>SUM(O198:O202)</f>
        <v>98895640</v>
      </c>
    </row>
    <row r="198" spans="1:19" ht="14.25" customHeight="1" x14ac:dyDescent="0.15">
      <c r="A198" s="293"/>
      <c r="B198" s="293"/>
      <c r="C198" s="293"/>
      <c r="D198" s="339" t="s">
        <v>115</v>
      </c>
      <c r="E198" s="175">
        <v>31456</v>
      </c>
      <c r="F198" s="599">
        <f t="shared" si="25"/>
        <v>29882</v>
      </c>
      <c r="G198" s="162">
        <f t="shared" si="23"/>
        <v>-1574</v>
      </c>
      <c r="H198" s="337" t="s">
        <v>116</v>
      </c>
      <c r="I198" s="192">
        <f>SUM(I196)</f>
        <v>925112956</v>
      </c>
      <c r="J198" s="193" t="s">
        <v>78</v>
      </c>
      <c r="K198" s="194" t="s">
        <v>106</v>
      </c>
      <c r="L198" s="759">
        <v>3.2300000000000002E-2</v>
      </c>
      <c r="M198" s="759"/>
      <c r="N198" s="648" t="s">
        <v>81</v>
      </c>
      <c r="O198" s="196">
        <v>29882000</v>
      </c>
      <c r="P198" s="664"/>
    </row>
    <row r="199" spans="1:19" ht="14.25" customHeight="1" x14ac:dyDescent="0.15">
      <c r="A199" s="293"/>
      <c r="B199" s="293"/>
      <c r="C199" s="293"/>
      <c r="D199" s="293" t="s">
        <v>117</v>
      </c>
      <c r="E199" s="223">
        <v>2045</v>
      </c>
      <c r="F199" s="599">
        <f t="shared" si="25"/>
        <v>1942.96</v>
      </c>
      <c r="G199" s="162">
        <f t="shared" si="23"/>
        <v>-102.03999999999996</v>
      </c>
      <c r="H199" s="651" t="s">
        <v>118</v>
      </c>
      <c r="I199" s="145">
        <f>SUM(O198)</f>
        <v>29882000</v>
      </c>
      <c r="J199" s="159" t="s">
        <v>78</v>
      </c>
      <c r="K199" s="647" t="s">
        <v>104</v>
      </c>
      <c r="L199" s="771">
        <v>6.5000000000000002E-2</v>
      </c>
      <c r="M199" s="771"/>
      <c r="N199" s="650" t="s">
        <v>81</v>
      </c>
      <c r="O199" s="136">
        <f>ROUNDDOWN(I199*L199, -1)+630</f>
        <v>1942960</v>
      </c>
    </row>
    <row r="200" spans="1:19" ht="14.25" customHeight="1" x14ac:dyDescent="0.15">
      <c r="A200" s="293"/>
      <c r="B200" s="293"/>
      <c r="C200" s="293"/>
      <c r="D200" s="339" t="s">
        <v>119</v>
      </c>
      <c r="E200" s="175">
        <v>53563</v>
      </c>
      <c r="F200" s="599">
        <f t="shared" si="25"/>
        <v>50881.21</v>
      </c>
      <c r="G200" s="162">
        <f t="shared" si="23"/>
        <v>-2681.7900000000009</v>
      </c>
      <c r="H200" s="337" t="s">
        <v>540</v>
      </c>
      <c r="I200" s="192">
        <f>SUM(I196)</f>
        <v>925112956</v>
      </c>
      <c r="J200" s="193" t="s">
        <v>78</v>
      </c>
      <c r="K200" s="194" t="s">
        <v>106</v>
      </c>
      <c r="L200" s="759">
        <v>5.5E-2</v>
      </c>
      <c r="M200" s="759"/>
      <c r="N200" s="648" t="s">
        <v>81</v>
      </c>
      <c r="O200" s="196">
        <f>ROUNDDOWN(I200*L200, -1)</f>
        <v>50881210</v>
      </c>
    </row>
    <row r="201" spans="1:19" ht="14.25" customHeight="1" x14ac:dyDescent="0.15">
      <c r="A201" s="293"/>
      <c r="B201" s="293"/>
      <c r="C201" s="293"/>
      <c r="D201" s="339" t="s">
        <v>121</v>
      </c>
      <c r="E201" s="175">
        <v>9252</v>
      </c>
      <c r="F201" s="599">
        <f t="shared" si="25"/>
        <v>8788.57</v>
      </c>
      <c r="G201" s="162">
        <f t="shared" si="23"/>
        <v>-463.43000000000029</v>
      </c>
      <c r="H201" s="337" t="s">
        <v>122</v>
      </c>
      <c r="I201" s="192">
        <f>SUM(I200)</f>
        <v>925112956</v>
      </c>
      <c r="J201" s="193" t="s">
        <v>78</v>
      </c>
      <c r="K201" s="194" t="s">
        <v>106</v>
      </c>
      <c r="L201" s="759">
        <v>9.4999999999999998E-3</v>
      </c>
      <c r="M201" s="759"/>
      <c r="N201" s="648" t="s">
        <v>81</v>
      </c>
      <c r="O201" s="196">
        <f>ROUNDDOWN(I201*L201, -1)</f>
        <v>8788570</v>
      </c>
    </row>
    <row r="202" spans="1:19" ht="14.25" customHeight="1" x14ac:dyDescent="0.15">
      <c r="A202" s="293"/>
      <c r="B202" s="293"/>
      <c r="C202" s="320"/>
      <c r="D202" s="320" t="s">
        <v>123</v>
      </c>
      <c r="E202" s="322">
        <v>7791</v>
      </c>
      <c r="F202" s="599">
        <f t="shared" si="25"/>
        <v>7400.9</v>
      </c>
      <c r="G202" s="162">
        <f t="shared" si="23"/>
        <v>-390.10000000000036</v>
      </c>
      <c r="H202" s="146" t="s">
        <v>124</v>
      </c>
      <c r="I202" s="147">
        <f>SUM(I201)</f>
        <v>925112956</v>
      </c>
      <c r="J202" s="179" t="s">
        <v>78</v>
      </c>
      <c r="K202" s="180" t="s">
        <v>106</v>
      </c>
      <c r="L202" s="778">
        <v>8.0000000000000002E-3</v>
      </c>
      <c r="M202" s="778"/>
      <c r="N202" s="649" t="s">
        <v>81</v>
      </c>
      <c r="O202" s="196">
        <f>ROUNDDOWN(I202*L202, -1)</f>
        <v>7400900</v>
      </c>
    </row>
    <row r="203" spans="1:19" s="340" customFormat="1" ht="14.25" customHeight="1" x14ac:dyDescent="0.15">
      <c r="A203" s="511"/>
      <c r="B203" s="293"/>
      <c r="C203" s="745" t="s">
        <v>59</v>
      </c>
      <c r="D203" s="746"/>
      <c r="E203" s="223">
        <v>46967</v>
      </c>
      <c r="F203" s="599">
        <f t="shared" si="25"/>
        <v>38227</v>
      </c>
      <c r="G203" s="162">
        <f t="shared" si="23"/>
        <v>-8740</v>
      </c>
      <c r="H203" s="505" t="s">
        <v>125</v>
      </c>
      <c r="I203" s="211"/>
      <c r="J203" s="212"/>
      <c r="K203" s="213"/>
      <c r="L203" s="214"/>
      <c r="M203" s="213"/>
      <c r="N203" s="214"/>
      <c r="O203" s="141">
        <f>SUM(O204,O206,O207,O213,O214,O215,O218,O219)</f>
        <v>38227000</v>
      </c>
      <c r="P203" s="582"/>
      <c r="Q203" s="574"/>
    </row>
    <row r="204" spans="1:19" s="340" customFormat="1" ht="14.25" customHeight="1" x14ac:dyDescent="0.15">
      <c r="A204" s="511"/>
      <c r="B204" s="293"/>
      <c r="C204" s="312"/>
      <c r="D204" s="512"/>
      <c r="E204" s="223"/>
      <c r="F204" s="223"/>
      <c r="G204" s="223">
        <f t="shared" si="23"/>
        <v>0</v>
      </c>
      <c r="H204" s="507" t="s">
        <v>126</v>
      </c>
      <c r="I204" s="145"/>
      <c r="J204" s="137"/>
      <c r="K204" s="140"/>
      <c r="L204" s="139"/>
      <c r="M204" s="140"/>
      <c r="N204" s="139"/>
      <c r="O204" s="141">
        <f>SUM(O205:O205)</f>
        <v>2400000</v>
      </c>
      <c r="P204" s="582"/>
      <c r="Q204" s="574"/>
    </row>
    <row r="205" spans="1:19" s="340" customFormat="1" ht="14.25" customHeight="1" x14ac:dyDescent="0.15">
      <c r="A205" s="511"/>
      <c r="B205" s="293"/>
      <c r="C205" s="312"/>
      <c r="D205" s="512"/>
      <c r="E205" s="223"/>
      <c r="F205" s="223"/>
      <c r="G205" s="223">
        <f t="shared" si="23"/>
        <v>0</v>
      </c>
      <c r="H205" s="507" t="s">
        <v>541</v>
      </c>
      <c r="I205" s="145">
        <v>100000</v>
      </c>
      <c r="J205" s="137" t="s">
        <v>100</v>
      </c>
      <c r="K205" s="140">
        <v>12</v>
      </c>
      <c r="L205" s="139" t="s">
        <v>102</v>
      </c>
      <c r="M205" s="140">
        <v>2</v>
      </c>
      <c r="N205" s="139" t="s">
        <v>105</v>
      </c>
      <c r="O205" s="136">
        <f t="shared" ref="O205:O206" si="26">SUM(I205*K205*M205)</f>
        <v>2400000</v>
      </c>
      <c r="P205" s="582"/>
      <c r="Q205" s="574"/>
    </row>
    <row r="206" spans="1:19" s="340" customFormat="1" ht="14.25" customHeight="1" x14ac:dyDescent="0.15">
      <c r="A206" s="511"/>
      <c r="B206" s="293"/>
      <c r="C206" s="312"/>
      <c r="D206" s="512"/>
      <c r="E206" s="223"/>
      <c r="F206" s="223"/>
      <c r="G206" s="223"/>
      <c r="H206" s="507" t="s">
        <v>544</v>
      </c>
      <c r="I206" s="145">
        <v>2500</v>
      </c>
      <c r="J206" s="137" t="s">
        <v>100</v>
      </c>
      <c r="K206" s="138" t="s">
        <v>542</v>
      </c>
      <c r="L206" s="139" t="s">
        <v>102</v>
      </c>
      <c r="M206" s="140">
        <v>240</v>
      </c>
      <c r="N206" s="139" t="s">
        <v>128</v>
      </c>
      <c r="O206" s="141">
        <f t="shared" si="26"/>
        <v>15600000</v>
      </c>
      <c r="P206" s="582"/>
      <c r="Q206" s="574"/>
    </row>
    <row r="207" spans="1:19" s="340" customFormat="1" ht="14.25" customHeight="1" x14ac:dyDescent="0.15">
      <c r="A207" s="511"/>
      <c r="B207" s="293"/>
      <c r="C207" s="312"/>
      <c r="D207" s="512"/>
      <c r="E207" s="223"/>
      <c r="F207" s="223"/>
      <c r="G207" s="223">
        <f t="shared" si="23"/>
        <v>0</v>
      </c>
      <c r="H207" s="144" t="s">
        <v>319</v>
      </c>
      <c r="I207" s="145"/>
      <c r="J207" s="137"/>
      <c r="K207" s="140"/>
      <c r="L207" s="139"/>
      <c r="M207" s="140"/>
      <c r="N207" s="139"/>
      <c r="O207" s="141">
        <f>SUM(O208,O212:O212)</f>
        <v>11127000</v>
      </c>
      <c r="P207" s="582"/>
      <c r="Q207" s="574"/>
    </row>
    <row r="208" spans="1:19" s="399" customFormat="1" ht="14.25" customHeight="1" x14ac:dyDescent="0.15">
      <c r="A208" s="511"/>
      <c r="B208" s="293"/>
      <c r="C208" s="312"/>
      <c r="D208" s="512"/>
      <c r="E208" s="223"/>
      <c r="F208" s="223"/>
      <c r="G208" s="223">
        <f t="shared" si="23"/>
        <v>0</v>
      </c>
      <c r="H208" s="651" t="s">
        <v>720</v>
      </c>
      <c r="I208" s="145"/>
      <c r="J208" s="137"/>
      <c r="K208" s="140"/>
      <c r="L208" s="139"/>
      <c r="M208" s="140"/>
      <c r="N208" s="139"/>
      <c r="O208" s="136">
        <f>SUM(O209:O211)</f>
        <v>4500000</v>
      </c>
      <c r="P208" s="582" t="s">
        <v>572</v>
      </c>
      <c r="Q208" s="586"/>
      <c r="R208" s="340"/>
      <c r="S208" s="340"/>
    </row>
    <row r="209" spans="1:19" s="399" customFormat="1" ht="14.25" customHeight="1" x14ac:dyDescent="0.15">
      <c r="A209" s="511"/>
      <c r="B209" s="293"/>
      <c r="C209" s="312"/>
      <c r="D209" s="512"/>
      <c r="E209" s="223"/>
      <c r="F209" s="223"/>
      <c r="G209" s="223"/>
      <c r="H209" s="508" t="s">
        <v>469</v>
      </c>
      <c r="I209" s="145">
        <v>150000</v>
      </c>
      <c r="J209" s="137" t="s">
        <v>100</v>
      </c>
      <c r="K209" s="140"/>
      <c r="L209" s="139"/>
      <c r="M209" s="140">
        <v>6</v>
      </c>
      <c r="N209" s="139" t="s">
        <v>105</v>
      </c>
      <c r="O209" s="136">
        <f>SUM(I209*M209)</f>
        <v>900000</v>
      </c>
      <c r="P209" s="582" t="s">
        <v>571</v>
      </c>
      <c r="Q209" s="574"/>
      <c r="R209" s="340"/>
      <c r="S209" s="340"/>
    </row>
    <row r="210" spans="1:19" s="399" customFormat="1" ht="14.25" customHeight="1" x14ac:dyDescent="0.15">
      <c r="A210" s="511"/>
      <c r="B210" s="293"/>
      <c r="C210" s="312"/>
      <c r="D210" s="512"/>
      <c r="E210" s="223"/>
      <c r="F210" s="223"/>
      <c r="G210" s="223"/>
      <c r="H210" s="508" t="s">
        <v>504</v>
      </c>
      <c r="I210" s="145">
        <v>240000</v>
      </c>
      <c r="J210" s="137" t="s">
        <v>100</v>
      </c>
      <c r="K210" s="140"/>
      <c r="L210" s="139"/>
      <c r="M210" s="140">
        <v>6</v>
      </c>
      <c r="N210" s="139" t="s">
        <v>105</v>
      </c>
      <c r="O210" s="136">
        <f>SUM(I210*M210)</f>
        <v>1440000</v>
      </c>
      <c r="P210" s="582"/>
      <c r="Q210" s="574"/>
      <c r="R210" s="340"/>
      <c r="S210" s="340"/>
    </row>
    <row r="211" spans="1:19" s="399" customFormat="1" ht="14.25" customHeight="1" x14ac:dyDescent="0.15">
      <c r="A211" s="511"/>
      <c r="B211" s="293"/>
      <c r="C211" s="312"/>
      <c r="D211" s="512"/>
      <c r="E211" s="223"/>
      <c r="F211" s="223"/>
      <c r="G211" s="223"/>
      <c r="H211" s="508" t="s">
        <v>505</v>
      </c>
      <c r="I211" s="145">
        <v>360000</v>
      </c>
      <c r="J211" s="137" t="s">
        <v>100</v>
      </c>
      <c r="K211" s="140"/>
      <c r="L211" s="139"/>
      <c r="M211" s="140">
        <v>6</v>
      </c>
      <c r="N211" s="139" t="s">
        <v>105</v>
      </c>
      <c r="O211" s="136">
        <f>ROUNDUP(SUM(I211*M211),-1)</f>
        <v>2160000</v>
      </c>
      <c r="P211" s="582"/>
      <c r="Q211" s="574"/>
      <c r="R211" s="340"/>
      <c r="S211" s="340"/>
    </row>
    <row r="212" spans="1:19" s="340" customFormat="1" ht="14.25" customHeight="1" x14ac:dyDescent="0.15">
      <c r="A212" s="511"/>
      <c r="B212" s="293"/>
      <c r="C212" s="312"/>
      <c r="D212" s="512"/>
      <c r="E212" s="223"/>
      <c r="F212" s="223"/>
      <c r="G212" s="223">
        <f t="shared" si="23"/>
        <v>0</v>
      </c>
      <c r="H212" s="508" t="s">
        <v>317</v>
      </c>
      <c r="I212" s="145">
        <v>552250</v>
      </c>
      <c r="J212" s="137" t="s">
        <v>78</v>
      </c>
      <c r="K212" s="160" t="s">
        <v>106</v>
      </c>
      <c r="L212" s="504">
        <v>12</v>
      </c>
      <c r="M212" s="160" t="s">
        <v>80</v>
      </c>
      <c r="N212" s="504" t="s">
        <v>81</v>
      </c>
      <c r="O212" s="136">
        <f t="shared" ref="O212:O214" si="27">SUM(I212*L212)</f>
        <v>6627000</v>
      </c>
      <c r="P212" s="582"/>
      <c r="Q212" s="574"/>
    </row>
    <row r="213" spans="1:19" ht="14.25" customHeight="1" x14ac:dyDescent="0.15">
      <c r="A213" s="293"/>
      <c r="B213" s="341"/>
      <c r="C213" s="511"/>
      <c r="D213" s="512"/>
      <c r="E213" s="223"/>
      <c r="F213" s="223"/>
      <c r="G213" s="223" t="s">
        <v>251</v>
      </c>
      <c r="H213" s="507" t="s">
        <v>258</v>
      </c>
      <c r="I213" s="145">
        <v>200000</v>
      </c>
      <c r="J213" s="137" t="s">
        <v>78</v>
      </c>
      <c r="K213" s="160" t="s">
        <v>106</v>
      </c>
      <c r="L213" s="504">
        <v>3</v>
      </c>
      <c r="M213" s="160" t="s">
        <v>80</v>
      </c>
      <c r="N213" s="504" t="s">
        <v>81</v>
      </c>
      <c r="O213" s="136">
        <f t="shared" si="27"/>
        <v>600000</v>
      </c>
    </row>
    <row r="214" spans="1:19" ht="14.25" customHeight="1" x14ac:dyDescent="0.15">
      <c r="A214" s="511"/>
      <c r="B214" s="501"/>
      <c r="C214" s="511"/>
      <c r="D214" s="512"/>
      <c r="E214" s="223"/>
      <c r="F214" s="223"/>
      <c r="G214" s="223"/>
      <c r="H214" s="508" t="s">
        <v>506</v>
      </c>
      <c r="I214" s="145"/>
      <c r="J214" s="137" t="s">
        <v>78</v>
      </c>
      <c r="K214" s="160" t="s">
        <v>106</v>
      </c>
      <c r="L214" s="504">
        <v>100</v>
      </c>
      <c r="M214" s="160" t="s">
        <v>82</v>
      </c>
      <c r="N214" s="504" t="s">
        <v>81</v>
      </c>
      <c r="O214" s="136">
        <f t="shared" si="27"/>
        <v>0</v>
      </c>
    </row>
    <row r="215" spans="1:19" s="377" customFormat="1" ht="14.25" customHeight="1" x14ac:dyDescent="0.15">
      <c r="A215" s="511"/>
      <c r="B215" s="501"/>
      <c r="C215" s="511"/>
      <c r="D215" s="512"/>
      <c r="E215" s="223"/>
      <c r="F215" s="223"/>
      <c r="G215" s="223"/>
      <c r="H215" s="508" t="s">
        <v>260</v>
      </c>
      <c r="I215" s="145"/>
      <c r="J215" s="137"/>
      <c r="K215" s="160"/>
      <c r="L215" s="504"/>
      <c r="M215" s="160"/>
      <c r="N215" s="504"/>
      <c r="O215" s="136">
        <f>SUM(O216:O217)</f>
        <v>4300000</v>
      </c>
      <c r="P215" s="576"/>
      <c r="Q215" s="312"/>
      <c r="R215" s="274"/>
      <c r="S215" s="274"/>
    </row>
    <row r="216" spans="1:19" s="377" customFormat="1" ht="14.25" customHeight="1" x14ac:dyDescent="0.15">
      <c r="A216" s="511"/>
      <c r="B216" s="501"/>
      <c r="C216" s="511"/>
      <c r="D216" s="512"/>
      <c r="E216" s="223"/>
      <c r="F216" s="223"/>
      <c r="G216" s="223"/>
      <c r="H216" s="508" t="s">
        <v>272</v>
      </c>
      <c r="I216" s="145">
        <v>250000</v>
      </c>
      <c r="J216" s="137" t="s">
        <v>78</v>
      </c>
      <c r="K216" s="160" t="s">
        <v>106</v>
      </c>
      <c r="L216" s="504">
        <v>4</v>
      </c>
      <c r="M216" s="160" t="s">
        <v>87</v>
      </c>
      <c r="N216" s="504" t="s">
        <v>81</v>
      </c>
      <c r="O216" s="136">
        <f t="shared" ref="O216:O217" si="28">SUM(I216*L216)</f>
        <v>1000000</v>
      </c>
      <c r="P216" s="576"/>
      <c r="Q216" s="312"/>
      <c r="R216" s="274"/>
      <c r="S216" s="274"/>
    </row>
    <row r="217" spans="1:19" s="377" customFormat="1" ht="14.25" customHeight="1" x14ac:dyDescent="0.15">
      <c r="A217" s="511"/>
      <c r="B217" s="501"/>
      <c r="C217" s="511"/>
      <c r="D217" s="512"/>
      <c r="E217" s="223"/>
      <c r="F217" s="223"/>
      <c r="G217" s="223"/>
      <c r="H217" s="508" t="s">
        <v>261</v>
      </c>
      <c r="I217" s="145">
        <v>330000</v>
      </c>
      <c r="J217" s="137" t="s">
        <v>78</v>
      </c>
      <c r="K217" s="160" t="s">
        <v>106</v>
      </c>
      <c r="L217" s="504">
        <v>10</v>
      </c>
      <c r="M217" s="160" t="s">
        <v>87</v>
      </c>
      <c r="N217" s="504" t="s">
        <v>81</v>
      </c>
      <c r="O217" s="136">
        <f t="shared" si="28"/>
        <v>3300000</v>
      </c>
      <c r="P217" s="576"/>
      <c r="Q217" s="312"/>
      <c r="R217" s="274"/>
      <c r="S217" s="274"/>
    </row>
    <row r="218" spans="1:19" s="340" customFormat="1" ht="14.25" customHeight="1" x14ac:dyDescent="0.15">
      <c r="A218" s="511"/>
      <c r="B218" s="511"/>
      <c r="C218" s="511"/>
      <c r="D218" s="512"/>
      <c r="E218" s="223"/>
      <c r="F218" s="223"/>
      <c r="G218" s="223">
        <f t="shared" si="23"/>
        <v>0</v>
      </c>
      <c r="H218" s="508" t="s">
        <v>320</v>
      </c>
      <c r="I218" s="145">
        <v>100000</v>
      </c>
      <c r="J218" s="137" t="s">
        <v>78</v>
      </c>
      <c r="K218" s="160" t="s">
        <v>106</v>
      </c>
      <c r="L218" s="504">
        <v>12</v>
      </c>
      <c r="M218" s="160" t="s">
        <v>82</v>
      </c>
      <c r="N218" s="504" t="s">
        <v>81</v>
      </c>
      <c r="O218" s="136">
        <f t="shared" ref="O218" si="29">SUM(I218*L218)</f>
        <v>1200000</v>
      </c>
      <c r="P218" s="582"/>
      <c r="Q218" s="574"/>
    </row>
    <row r="219" spans="1:19" s="399" customFormat="1" ht="14.25" customHeight="1" x14ac:dyDescent="0.15">
      <c r="A219" s="511"/>
      <c r="B219" s="511"/>
      <c r="C219" s="511"/>
      <c r="D219" s="512"/>
      <c r="E219" s="223"/>
      <c r="F219" s="223"/>
      <c r="G219" s="223"/>
      <c r="H219" s="508" t="s">
        <v>468</v>
      </c>
      <c r="I219" s="145">
        <v>250000</v>
      </c>
      <c r="J219" s="137" t="s">
        <v>78</v>
      </c>
      <c r="K219" s="160" t="s">
        <v>106</v>
      </c>
      <c r="L219" s="504">
        <v>12</v>
      </c>
      <c r="M219" s="160" t="s">
        <v>87</v>
      </c>
      <c r="N219" s="504" t="s">
        <v>81</v>
      </c>
      <c r="O219" s="136">
        <f t="shared" ref="O219" si="30">SUM(I219*L219)</f>
        <v>3000000</v>
      </c>
      <c r="P219" s="582"/>
      <c r="Q219" s="574"/>
      <c r="R219" s="340"/>
      <c r="S219" s="340"/>
    </row>
    <row r="220" spans="1:19" s="378" customFormat="1" ht="14.25" customHeight="1" x14ac:dyDescent="0.15">
      <c r="A220" s="293"/>
      <c r="B220" s="711" t="s">
        <v>3</v>
      </c>
      <c r="C220" s="712"/>
      <c r="D220" s="713"/>
      <c r="E220" s="543">
        <v>8900</v>
      </c>
      <c r="F220" s="543">
        <f>SUM(F221:F227)</f>
        <v>2000</v>
      </c>
      <c r="G220" s="543">
        <f t="shared" si="23"/>
        <v>-6900</v>
      </c>
      <c r="H220" s="197" t="s">
        <v>452</v>
      </c>
      <c r="I220" s="185"/>
      <c r="J220" s="186"/>
      <c r="K220" s="544"/>
      <c r="L220" s="544"/>
      <c r="M220" s="544"/>
      <c r="N220" s="188"/>
      <c r="O220" s="209">
        <f>SUM(O221,O225)</f>
        <v>2000000</v>
      </c>
      <c r="P220" s="578"/>
      <c r="Q220" s="455"/>
      <c r="R220" s="294"/>
      <c r="S220" s="294"/>
    </row>
    <row r="221" spans="1:19" s="377" customFormat="1" ht="14.25" customHeight="1" x14ac:dyDescent="0.15">
      <c r="A221" s="293"/>
      <c r="B221" s="501"/>
      <c r="C221" s="711" t="s">
        <v>4</v>
      </c>
      <c r="D221" s="713"/>
      <c r="E221" s="364">
        <v>5400</v>
      </c>
      <c r="F221" s="599">
        <f>O221/1000</f>
        <v>750</v>
      </c>
      <c r="G221" s="364">
        <f t="shared" si="23"/>
        <v>-4650</v>
      </c>
      <c r="H221" s="197" t="s">
        <v>453</v>
      </c>
      <c r="I221" s="185"/>
      <c r="J221" s="186"/>
      <c r="K221" s="544"/>
      <c r="L221" s="544"/>
      <c r="M221" s="544"/>
      <c r="N221" s="188"/>
      <c r="O221" s="209">
        <f>O222</f>
        <v>750000</v>
      </c>
      <c r="P221" s="576"/>
      <c r="Q221" s="312"/>
      <c r="R221" s="274"/>
      <c r="S221" s="274"/>
    </row>
    <row r="222" spans="1:19" s="377" customFormat="1" ht="14.25" customHeight="1" x14ac:dyDescent="0.15">
      <c r="A222" s="293"/>
      <c r="B222" s="501"/>
      <c r="C222" s="509"/>
      <c r="D222" s="510"/>
      <c r="E222" s="545"/>
      <c r="F222" s="343"/>
      <c r="G222" s="545"/>
      <c r="H222" s="227" t="s">
        <v>457</v>
      </c>
      <c r="I222" s="147">
        <v>50000</v>
      </c>
      <c r="J222" s="148" t="s">
        <v>100</v>
      </c>
      <c r="K222" s="149" t="s">
        <v>697</v>
      </c>
      <c r="L222" s="150" t="s">
        <v>460</v>
      </c>
      <c r="M222" s="151">
        <v>3</v>
      </c>
      <c r="N222" s="150" t="s">
        <v>103</v>
      </c>
      <c r="O222" s="142">
        <f t="shared" ref="O222" si="31">SUM(I222*K222*M222)</f>
        <v>750000</v>
      </c>
      <c r="P222" s="576"/>
      <c r="Q222" s="312"/>
      <c r="R222" s="274"/>
      <c r="S222" s="274"/>
    </row>
    <row r="223" spans="1:19" s="377" customFormat="1" ht="14.25" customHeight="1" x14ac:dyDescent="0.15">
      <c r="A223" s="293"/>
      <c r="B223" s="341"/>
      <c r="C223" s="747" t="s">
        <v>451</v>
      </c>
      <c r="D223" s="748"/>
      <c r="E223" s="223">
        <v>0</v>
      </c>
      <c r="F223" s="223">
        <v>0</v>
      </c>
      <c r="G223" s="223">
        <f t="shared" si="23"/>
        <v>0</v>
      </c>
      <c r="H223" s="400" t="s">
        <v>454</v>
      </c>
      <c r="I223" s="198"/>
      <c r="J223" s="199"/>
      <c r="K223" s="546"/>
      <c r="L223" s="546"/>
      <c r="M223" s="546"/>
      <c r="N223" s="201"/>
      <c r="O223" s="141">
        <f>O224</f>
        <v>0</v>
      </c>
      <c r="P223" s="576"/>
      <c r="Q223" s="312"/>
      <c r="R223" s="274"/>
      <c r="S223" s="274"/>
    </row>
    <row r="224" spans="1:19" s="377" customFormat="1" ht="14.25" customHeight="1" x14ac:dyDescent="0.15">
      <c r="A224" s="293"/>
      <c r="B224" s="341"/>
      <c r="C224" s="749"/>
      <c r="D224" s="750"/>
      <c r="E224" s="498"/>
      <c r="F224" s="322"/>
      <c r="G224" s="322"/>
      <c r="H224" s="227" t="s">
        <v>455</v>
      </c>
      <c r="I224" s="147"/>
      <c r="J224" s="148" t="s">
        <v>100</v>
      </c>
      <c r="K224" s="149"/>
      <c r="L224" s="150" t="s">
        <v>102</v>
      </c>
      <c r="M224" s="151"/>
      <c r="N224" s="150" t="s">
        <v>103</v>
      </c>
      <c r="O224" s="142">
        <f t="shared" ref="O224" si="32">SUM(I224*K224*M224)</f>
        <v>0</v>
      </c>
      <c r="P224" s="576"/>
      <c r="Q224" s="312"/>
      <c r="R224" s="274"/>
      <c r="S224" s="274"/>
    </row>
    <row r="225" spans="1:19" s="377" customFormat="1" ht="14.25" customHeight="1" x14ac:dyDescent="0.15">
      <c r="A225" s="293"/>
      <c r="B225" s="341"/>
      <c r="C225" s="751" t="s">
        <v>5</v>
      </c>
      <c r="D225" s="752"/>
      <c r="E225" s="162">
        <v>3500</v>
      </c>
      <c r="F225" s="599">
        <f>O225/1000</f>
        <v>1250</v>
      </c>
      <c r="G225" s="162">
        <f t="shared" ref="G225" si="33">F225-E225</f>
        <v>-2250</v>
      </c>
      <c r="H225" s="508" t="s">
        <v>129</v>
      </c>
      <c r="I225" s="145"/>
      <c r="J225" s="159"/>
      <c r="K225" s="547"/>
      <c r="L225" s="547"/>
      <c r="M225" s="547"/>
      <c r="N225" s="504"/>
      <c r="O225" s="141">
        <f>O226+O227</f>
        <v>1250000</v>
      </c>
      <c r="P225" s="576"/>
      <c r="Q225" s="312"/>
      <c r="R225" s="274"/>
      <c r="S225" s="274"/>
    </row>
    <row r="226" spans="1:19" s="377" customFormat="1" ht="14.25" customHeight="1" x14ac:dyDescent="0.15">
      <c r="A226" s="293"/>
      <c r="B226" s="341"/>
      <c r="C226" s="753"/>
      <c r="D226" s="754"/>
      <c r="E226" s="223"/>
      <c r="F226" s="223"/>
      <c r="G226" s="223">
        <f t="shared" ref="G226" si="34">F226-E226</f>
        <v>0</v>
      </c>
      <c r="H226" s="507" t="s">
        <v>153</v>
      </c>
      <c r="I226" s="198">
        <v>50000</v>
      </c>
      <c r="J226" s="215" t="s">
        <v>100</v>
      </c>
      <c r="K226" s="548" t="s">
        <v>108</v>
      </c>
      <c r="L226" s="329" t="s">
        <v>102</v>
      </c>
      <c r="M226" s="216">
        <v>2</v>
      </c>
      <c r="N226" s="329" t="s">
        <v>105</v>
      </c>
      <c r="O226" s="136">
        <f t="shared" ref="O226" si="35">SUM(I226*K226*M226)</f>
        <v>1000000</v>
      </c>
      <c r="P226" s="576"/>
      <c r="Q226" s="312"/>
      <c r="R226" s="274"/>
      <c r="S226" s="274"/>
    </row>
    <row r="227" spans="1:19" s="377" customFormat="1" ht="14.25" customHeight="1" x14ac:dyDescent="0.15">
      <c r="A227" s="293"/>
      <c r="B227" s="341"/>
      <c r="C227" s="749"/>
      <c r="D227" s="750"/>
      <c r="E227" s="322"/>
      <c r="F227" s="322"/>
      <c r="G227" s="322"/>
      <c r="H227" s="146" t="s">
        <v>315</v>
      </c>
      <c r="I227" s="147">
        <v>50000</v>
      </c>
      <c r="J227" s="148" t="s">
        <v>100</v>
      </c>
      <c r="K227" s="149"/>
      <c r="L227" s="150" t="s">
        <v>102</v>
      </c>
      <c r="M227" s="151">
        <v>5</v>
      </c>
      <c r="N227" s="150" t="s">
        <v>105</v>
      </c>
      <c r="O227" s="142">
        <f>SUM(I227*M227)</f>
        <v>250000</v>
      </c>
      <c r="P227" s="576"/>
      <c r="Q227" s="312"/>
      <c r="R227" s="274"/>
      <c r="S227" s="274"/>
    </row>
    <row r="228" spans="1:19" s="294" customFormat="1" ht="14.25" customHeight="1" x14ac:dyDescent="0.15">
      <c r="A228" s="293"/>
      <c r="B228" s="758" t="s">
        <v>6</v>
      </c>
      <c r="C228" s="756"/>
      <c r="D228" s="757"/>
      <c r="E228" s="343">
        <v>372046</v>
      </c>
      <c r="F228" s="343">
        <f>SUM(F229,F232,F244,F250,F267)</f>
        <v>339686</v>
      </c>
      <c r="G228" s="343">
        <f t="shared" si="23"/>
        <v>-32360</v>
      </c>
      <c r="H228" s="146"/>
      <c r="I228" s="147"/>
      <c r="J228" s="179"/>
      <c r="K228" s="180"/>
      <c r="L228" s="190"/>
      <c r="M228" s="180"/>
      <c r="N228" s="190"/>
      <c r="O228" s="142"/>
      <c r="P228" s="578"/>
      <c r="Q228" s="455"/>
    </row>
    <row r="229" spans="1:19" s="294" customFormat="1" ht="14.25" customHeight="1" x14ac:dyDescent="0.15">
      <c r="A229" s="293"/>
      <c r="B229" s="293"/>
      <c r="C229" s="711" t="s">
        <v>73</v>
      </c>
      <c r="D229" s="713"/>
      <c r="E229" s="162">
        <v>3440</v>
      </c>
      <c r="F229" s="599">
        <f>O229/1000</f>
        <v>3440</v>
      </c>
      <c r="G229" s="162">
        <f t="shared" si="23"/>
        <v>0</v>
      </c>
      <c r="H229" s="184" t="s">
        <v>130</v>
      </c>
      <c r="I229" s="185"/>
      <c r="J229" s="186"/>
      <c r="K229" s="187"/>
      <c r="L229" s="188"/>
      <c r="M229" s="187"/>
      <c r="N229" s="188"/>
      <c r="O229" s="209">
        <f>SUM(O230:O231)</f>
        <v>3440000</v>
      </c>
      <c r="P229" s="578"/>
      <c r="Q229" s="455"/>
    </row>
    <row r="230" spans="1:19" s="294" customFormat="1" ht="14.25" customHeight="1" x14ac:dyDescent="0.15">
      <c r="A230" s="293"/>
      <c r="B230" s="293"/>
      <c r="C230" s="511"/>
      <c r="D230" s="512"/>
      <c r="E230" s="223"/>
      <c r="F230" s="223"/>
      <c r="G230" s="223">
        <f t="shared" si="23"/>
        <v>0</v>
      </c>
      <c r="H230" s="508" t="s">
        <v>131</v>
      </c>
      <c r="I230" s="145">
        <v>220000</v>
      </c>
      <c r="J230" s="159" t="s">
        <v>78</v>
      </c>
      <c r="K230" s="160" t="s">
        <v>106</v>
      </c>
      <c r="L230" s="504">
        <v>12</v>
      </c>
      <c r="M230" s="160" t="s">
        <v>80</v>
      </c>
      <c r="N230" s="504" t="s">
        <v>81</v>
      </c>
      <c r="O230" s="136">
        <f>SUM(I230*L230)</f>
        <v>2640000</v>
      </c>
      <c r="P230" s="578"/>
      <c r="Q230" s="455"/>
    </row>
    <row r="231" spans="1:19" s="294" customFormat="1" ht="14.25" customHeight="1" x14ac:dyDescent="0.15">
      <c r="A231" s="293"/>
      <c r="B231" s="293"/>
      <c r="C231" s="497"/>
      <c r="D231" s="498"/>
      <c r="E231" s="322"/>
      <c r="F231" s="322"/>
      <c r="G231" s="322">
        <f t="shared" si="23"/>
        <v>0</v>
      </c>
      <c r="H231" s="146" t="s">
        <v>132</v>
      </c>
      <c r="I231" s="147">
        <v>200000</v>
      </c>
      <c r="J231" s="179" t="s">
        <v>78</v>
      </c>
      <c r="K231" s="180" t="s">
        <v>106</v>
      </c>
      <c r="L231" s="513">
        <v>4</v>
      </c>
      <c r="M231" s="180" t="s">
        <v>82</v>
      </c>
      <c r="N231" s="513" t="s">
        <v>81</v>
      </c>
      <c r="O231" s="142">
        <f t="shared" ref="O231" si="36">SUM(I231*L231)</f>
        <v>800000</v>
      </c>
      <c r="P231" s="578"/>
      <c r="Q231" s="455"/>
    </row>
    <row r="232" spans="1:19" ht="14.1" customHeight="1" x14ac:dyDescent="0.15">
      <c r="A232" s="293"/>
      <c r="B232" s="293"/>
      <c r="C232" s="758" t="s">
        <v>60</v>
      </c>
      <c r="D232" s="757"/>
      <c r="E232" s="343">
        <v>75410</v>
      </c>
      <c r="F232" s="343">
        <f>SUM(F233,F237,F240)</f>
        <v>59410</v>
      </c>
      <c r="G232" s="343">
        <f t="shared" si="23"/>
        <v>-16000</v>
      </c>
      <c r="H232" s="146" t="s">
        <v>154</v>
      </c>
      <c r="I232" s="147"/>
      <c r="J232" s="179"/>
      <c r="K232" s="180"/>
      <c r="L232" s="513"/>
      <c r="M232" s="180"/>
      <c r="N232" s="513"/>
      <c r="O232" s="181">
        <f>O233+O240+O237</f>
        <v>59410000</v>
      </c>
    </row>
    <row r="233" spans="1:19" ht="14.1" customHeight="1" x14ac:dyDescent="0.15">
      <c r="A233" s="293"/>
      <c r="B233" s="293"/>
      <c r="C233" s="293"/>
      <c r="D233" s="344" t="s">
        <v>133</v>
      </c>
      <c r="E233" s="162">
        <v>5808</v>
      </c>
      <c r="F233" s="599">
        <f>O233/1000</f>
        <v>5808</v>
      </c>
      <c r="G233" s="162">
        <f t="shared" si="23"/>
        <v>0</v>
      </c>
      <c r="H233" s="591" t="s">
        <v>698</v>
      </c>
      <c r="I233" s="205"/>
      <c r="J233" s="206"/>
      <c r="K233" s="207"/>
      <c r="L233" s="208"/>
      <c r="M233" s="207"/>
      <c r="N233" s="208"/>
      <c r="O233" s="209">
        <f>SUM(O234:O236)</f>
        <v>5808000</v>
      </c>
    </row>
    <row r="234" spans="1:19" ht="14.1" customHeight="1" x14ac:dyDescent="0.15">
      <c r="A234" s="293"/>
      <c r="B234" s="293"/>
      <c r="C234" s="511"/>
      <c r="D234" s="293"/>
      <c r="E234" s="223"/>
      <c r="F234" s="223"/>
      <c r="G234" s="223">
        <f t="shared" si="23"/>
        <v>0</v>
      </c>
      <c r="H234" s="593" t="s">
        <v>699</v>
      </c>
      <c r="I234" s="145">
        <v>350000</v>
      </c>
      <c r="J234" s="159" t="s">
        <v>700</v>
      </c>
      <c r="K234" s="160" t="s">
        <v>106</v>
      </c>
      <c r="L234" s="589">
        <v>12</v>
      </c>
      <c r="M234" s="160" t="s">
        <v>701</v>
      </c>
      <c r="N234" s="589" t="s">
        <v>702</v>
      </c>
      <c r="O234" s="136">
        <f t="shared" ref="O234:O236" si="37">SUM(I234*L234)</f>
        <v>4200000</v>
      </c>
    </row>
    <row r="235" spans="1:19" ht="14.1" customHeight="1" x14ac:dyDescent="0.15">
      <c r="A235" s="293"/>
      <c r="B235" s="293"/>
      <c r="C235" s="511"/>
      <c r="D235" s="293"/>
      <c r="E235" s="223"/>
      <c r="F235" s="223"/>
      <c r="G235" s="223">
        <f t="shared" si="23"/>
        <v>0</v>
      </c>
      <c r="H235" s="593" t="s">
        <v>703</v>
      </c>
      <c r="I235" s="145">
        <v>125000</v>
      </c>
      <c r="J235" s="159" t="s">
        <v>700</v>
      </c>
      <c r="K235" s="160" t="s">
        <v>106</v>
      </c>
      <c r="L235" s="589">
        <v>12</v>
      </c>
      <c r="M235" s="160" t="s">
        <v>701</v>
      </c>
      <c r="N235" s="589" t="s">
        <v>702</v>
      </c>
      <c r="O235" s="136">
        <f t="shared" si="37"/>
        <v>1500000</v>
      </c>
    </row>
    <row r="236" spans="1:19" ht="14.1" customHeight="1" x14ac:dyDescent="0.15">
      <c r="A236" s="293"/>
      <c r="B236" s="293"/>
      <c r="C236" s="511"/>
      <c r="D236" s="293"/>
      <c r="E236" s="223"/>
      <c r="F236" s="223"/>
      <c r="G236" s="223">
        <f t="shared" si="23"/>
        <v>0</v>
      </c>
      <c r="H236" s="593" t="s">
        <v>704</v>
      </c>
      <c r="I236" s="145">
        <v>9000</v>
      </c>
      <c r="J236" s="159" t="s">
        <v>700</v>
      </c>
      <c r="K236" s="160" t="s">
        <v>106</v>
      </c>
      <c r="L236" s="589">
        <v>12</v>
      </c>
      <c r="M236" s="160" t="s">
        <v>701</v>
      </c>
      <c r="N236" s="589" t="s">
        <v>702</v>
      </c>
      <c r="O236" s="136">
        <f t="shared" si="37"/>
        <v>108000</v>
      </c>
    </row>
    <row r="237" spans="1:19" ht="14.1" customHeight="1" x14ac:dyDescent="0.15">
      <c r="A237" s="293"/>
      <c r="B237" s="293"/>
      <c r="C237" s="293"/>
      <c r="D237" s="344" t="s">
        <v>303</v>
      </c>
      <c r="E237" s="162">
        <v>44600</v>
      </c>
      <c r="F237" s="599">
        <f>O237/1000</f>
        <v>28600</v>
      </c>
      <c r="G237" s="162">
        <f t="shared" ref="G237" si="38">F237-E237</f>
        <v>-16000</v>
      </c>
      <c r="H237" s="590" t="s">
        <v>705</v>
      </c>
      <c r="I237" s="205"/>
      <c r="J237" s="206"/>
      <c r="K237" s="207"/>
      <c r="L237" s="208"/>
      <c r="M237" s="207"/>
      <c r="N237" s="208"/>
      <c r="O237" s="209">
        <f>SUM(O238:O239)</f>
        <v>28600000</v>
      </c>
    </row>
    <row r="238" spans="1:19" ht="14.1" customHeight="1" x14ac:dyDescent="0.15">
      <c r="A238" s="293"/>
      <c r="B238" s="293"/>
      <c r="C238" s="293"/>
      <c r="D238" s="512"/>
      <c r="E238" s="223"/>
      <c r="F238" s="223"/>
      <c r="G238" s="223"/>
      <c r="H238" s="593" t="s">
        <v>706</v>
      </c>
      <c r="I238" s="145">
        <v>7000000</v>
      </c>
      <c r="J238" s="159" t="s">
        <v>700</v>
      </c>
      <c r="K238" s="160" t="s">
        <v>106</v>
      </c>
      <c r="L238" s="589">
        <v>4</v>
      </c>
      <c r="M238" s="160" t="s">
        <v>707</v>
      </c>
      <c r="N238" s="589" t="s">
        <v>702</v>
      </c>
      <c r="O238" s="136">
        <f t="shared" ref="O238:O239" si="39">SUM(I238*L238)</f>
        <v>28000000</v>
      </c>
      <c r="P238" s="583"/>
    </row>
    <row r="239" spans="1:19" ht="14.1" customHeight="1" x14ac:dyDescent="0.15">
      <c r="A239" s="293"/>
      <c r="B239" s="293"/>
      <c r="C239" s="293"/>
      <c r="D239" s="512"/>
      <c r="E239" s="223"/>
      <c r="F239" s="223"/>
      <c r="G239" s="223"/>
      <c r="H239" s="592" t="s">
        <v>708</v>
      </c>
      <c r="I239" s="145">
        <v>50000</v>
      </c>
      <c r="J239" s="159" t="s">
        <v>700</v>
      </c>
      <c r="K239" s="160" t="s">
        <v>106</v>
      </c>
      <c r="L239" s="589">
        <v>12</v>
      </c>
      <c r="M239" s="160" t="s">
        <v>701</v>
      </c>
      <c r="N239" s="589" t="s">
        <v>702</v>
      </c>
      <c r="O239" s="136">
        <f t="shared" si="39"/>
        <v>600000</v>
      </c>
      <c r="P239" s="583"/>
    </row>
    <row r="240" spans="1:19" ht="14.1" customHeight="1" x14ac:dyDescent="0.15">
      <c r="A240" s="293"/>
      <c r="B240" s="293"/>
      <c r="C240" s="293"/>
      <c r="D240" s="344" t="s">
        <v>302</v>
      </c>
      <c r="E240" s="162">
        <v>25002</v>
      </c>
      <c r="F240" s="599">
        <f>O240/1000</f>
        <v>25002</v>
      </c>
      <c r="G240" s="162">
        <f t="shared" si="23"/>
        <v>0</v>
      </c>
      <c r="H240" s="163" t="s">
        <v>301</v>
      </c>
      <c r="I240" s="164"/>
      <c r="J240" s="165"/>
      <c r="K240" s="166"/>
      <c r="L240" s="167"/>
      <c r="M240" s="166"/>
      <c r="N240" s="167"/>
      <c r="O240" s="168">
        <f>SUM(O241:O243)</f>
        <v>25002000</v>
      </c>
    </row>
    <row r="241" spans="1:19" ht="14.1" customHeight="1" x14ac:dyDescent="0.15">
      <c r="A241" s="293"/>
      <c r="B241" s="293"/>
      <c r="C241" s="511"/>
      <c r="D241" s="293"/>
      <c r="E241" s="223"/>
      <c r="F241" s="223"/>
      <c r="G241" s="223">
        <f t="shared" si="23"/>
        <v>0</v>
      </c>
      <c r="H241" s="152" t="s">
        <v>198</v>
      </c>
      <c r="I241" s="153">
        <v>1723500</v>
      </c>
      <c r="J241" s="154" t="s">
        <v>78</v>
      </c>
      <c r="K241" s="155" t="s">
        <v>316</v>
      </c>
      <c r="L241" s="156">
        <v>12</v>
      </c>
      <c r="M241" s="155" t="s">
        <v>80</v>
      </c>
      <c r="N241" s="153" t="s">
        <v>81</v>
      </c>
      <c r="O241" s="158">
        <f>I241*L241</f>
        <v>20682000</v>
      </c>
    </row>
    <row r="242" spans="1:19" ht="14.1" customHeight="1" x14ac:dyDescent="0.15">
      <c r="A242" s="293"/>
      <c r="B242" s="293"/>
      <c r="C242" s="511"/>
      <c r="D242" s="293"/>
      <c r="E242" s="223"/>
      <c r="F242" s="223"/>
      <c r="G242" s="223">
        <f t="shared" si="23"/>
        <v>0</v>
      </c>
      <c r="H242" s="152" t="s">
        <v>156</v>
      </c>
      <c r="I242" s="153">
        <v>210000</v>
      </c>
      <c r="J242" s="154" t="s">
        <v>78</v>
      </c>
      <c r="K242" s="155"/>
      <c r="L242" s="156">
        <v>12</v>
      </c>
      <c r="M242" s="155" t="s">
        <v>80</v>
      </c>
      <c r="N242" s="153" t="s">
        <v>81</v>
      </c>
      <c r="O242" s="158">
        <f>I242*L242</f>
        <v>2520000</v>
      </c>
    </row>
    <row r="243" spans="1:19" ht="14.1" customHeight="1" x14ac:dyDescent="0.15">
      <c r="A243" s="293"/>
      <c r="B243" s="293"/>
      <c r="C243" s="293"/>
      <c r="D243" s="320"/>
      <c r="E243" s="322"/>
      <c r="F243" s="322"/>
      <c r="G243" s="322">
        <f t="shared" si="23"/>
        <v>0</v>
      </c>
      <c r="H243" s="169" t="s">
        <v>155</v>
      </c>
      <c r="I243" s="170">
        <v>300000</v>
      </c>
      <c r="J243" s="171" t="s">
        <v>78</v>
      </c>
      <c r="K243" s="172" t="s">
        <v>106</v>
      </c>
      <c r="L243" s="173">
        <v>6</v>
      </c>
      <c r="M243" s="172" t="s">
        <v>82</v>
      </c>
      <c r="N243" s="170" t="s">
        <v>81</v>
      </c>
      <c r="O243" s="174">
        <f>I243*L243</f>
        <v>1800000</v>
      </c>
    </row>
    <row r="244" spans="1:19" ht="14.1" customHeight="1" x14ac:dyDescent="0.15">
      <c r="A244" s="293"/>
      <c r="B244" s="293"/>
      <c r="C244" s="758" t="s">
        <v>297</v>
      </c>
      <c r="D244" s="757"/>
      <c r="E244" s="343">
        <v>113416</v>
      </c>
      <c r="F244" s="343">
        <f>F245</f>
        <v>109016</v>
      </c>
      <c r="G244" s="343">
        <f t="shared" ref="G244" si="40">F244-E244</f>
        <v>-4400</v>
      </c>
      <c r="H244" s="146" t="s">
        <v>298</v>
      </c>
      <c r="I244" s="147"/>
      <c r="J244" s="179"/>
      <c r="K244" s="180"/>
      <c r="L244" s="513"/>
      <c r="M244" s="180"/>
      <c r="N244" s="513"/>
      <c r="O244" s="181">
        <f>SUM(O245:O249)</f>
        <v>109016000</v>
      </c>
    </row>
    <row r="245" spans="1:19" ht="14.1" customHeight="1" x14ac:dyDescent="0.15">
      <c r="A245" s="293"/>
      <c r="B245" s="293"/>
      <c r="C245" s="511"/>
      <c r="D245" s="293" t="s">
        <v>304</v>
      </c>
      <c r="E245" s="223">
        <v>113416</v>
      </c>
      <c r="F245" s="599">
        <f>O244/1000</f>
        <v>109016</v>
      </c>
      <c r="G245" s="162">
        <f t="shared" ref="G245:G249" si="41">F245-E245</f>
        <v>-4400</v>
      </c>
      <c r="H245" s="508" t="s">
        <v>284</v>
      </c>
      <c r="I245" s="145">
        <v>418000</v>
      </c>
      <c r="J245" s="159" t="s">
        <v>78</v>
      </c>
      <c r="K245" s="160" t="s">
        <v>106</v>
      </c>
      <c r="L245" s="504">
        <v>12</v>
      </c>
      <c r="M245" s="160" t="s">
        <v>80</v>
      </c>
      <c r="N245" s="145" t="s">
        <v>81</v>
      </c>
      <c r="O245" s="136">
        <f>I245*L245</f>
        <v>5016000</v>
      </c>
    </row>
    <row r="246" spans="1:19" ht="14.1" customHeight="1" x14ac:dyDescent="0.15">
      <c r="A246" s="293"/>
      <c r="B246" s="293"/>
      <c r="C246" s="511"/>
      <c r="D246" s="293"/>
      <c r="E246" s="223"/>
      <c r="F246" s="223"/>
      <c r="G246" s="223">
        <f t="shared" si="41"/>
        <v>0</v>
      </c>
      <c r="H246" s="508" t="s">
        <v>285</v>
      </c>
      <c r="I246" s="145">
        <v>4000000</v>
      </c>
      <c r="J246" s="159" t="s">
        <v>78</v>
      </c>
      <c r="K246" s="160" t="s">
        <v>106</v>
      </c>
      <c r="L246" s="504">
        <v>1</v>
      </c>
      <c r="M246" s="160" t="s">
        <v>80</v>
      </c>
      <c r="N246" s="145" t="s">
        <v>81</v>
      </c>
      <c r="O246" s="136">
        <f>I246*L246</f>
        <v>4000000</v>
      </c>
    </row>
    <row r="247" spans="1:19" ht="14.1" customHeight="1" x14ac:dyDescent="0.15">
      <c r="A247" s="293"/>
      <c r="B247" s="293"/>
      <c r="C247" s="511"/>
      <c r="D247" s="293"/>
      <c r="E247" s="223"/>
      <c r="F247" s="223"/>
      <c r="G247" s="223"/>
      <c r="H247" s="400" t="s">
        <v>286</v>
      </c>
      <c r="I247" s="198">
        <v>4400000</v>
      </c>
      <c r="J247" s="199" t="s">
        <v>78</v>
      </c>
      <c r="K247" s="200" t="s">
        <v>106</v>
      </c>
      <c r="L247" s="201"/>
      <c r="M247" s="200" t="s">
        <v>82</v>
      </c>
      <c r="N247" s="198" t="s">
        <v>81</v>
      </c>
      <c r="O247" s="136">
        <f>I247*L247</f>
        <v>0</v>
      </c>
    </row>
    <row r="248" spans="1:19" s="377" customFormat="1" ht="14.1" customHeight="1" x14ac:dyDescent="0.15">
      <c r="A248" s="293"/>
      <c r="B248" s="293"/>
      <c r="C248" s="511"/>
      <c r="D248" s="293"/>
      <c r="E248" s="223"/>
      <c r="F248" s="223"/>
      <c r="G248" s="223"/>
      <c r="H248" s="562" t="s">
        <v>472</v>
      </c>
      <c r="I248" s="557">
        <v>50000000</v>
      </c>
      <c r="J248" s="563" t="s">
        <v>78</v>
      </c>
      <c r="K248" s="564" t="s">
        <v>106</v>
      </c>
      <c r="L248" s="565">
        <v>1</v>
      </c>
      <c r="M248" s="564" t="s">
        <v>82</v>
      </c>
      <c r="N248" s="557" t="s">
        <v>81</v>
      </c>
      <c r="O248" s="561">
        <f>I248*L248</f>
        <v>50000000</v>
      </c>
      <c r="P248" s="576"/>
      <c r="Q248" s="312"/>
      <c r="R248" s="274"/>
      <c r="S248" s="274"/>
    </row>
    <row r="249" spans="1:19" s="377" customFormat="1" ht="14.1" customHeight="1" x14ac:dyDescent="0.15">
      <c r="A249" s="293"/>
      <c r="B249" s="293"/>
      <c r="C249" s="511"/>
      <c r="D249" s="293"/>
      <c r="E249" s="223"/>
      <c r="F249" s="223"/>
      <c r="G249" s="549">
        <f t="shared" si="41"/>
        <v>0</v>
      </c>
      <c r="H249" s="227" t="s">
        <v>471</v>
      </c>
      <c r="I249" s="566">
        <v>50000000</v>
      </c>
      <c r="J249" s="567" t="s">
        <v>78</v>
      </c>
      <c r="K249" s="568" t="s">
        <v>106</v>
      </c>
      <c r="L249" s="569">
        <v>1</v>
      </c>
      <c r="M249" s="570" t="s">
        <v>82</v>
      </c>
      <c r="N249" s="569" t="s">
        <v>81</v>
      </c>
      <c r="O249" s="571">
        <f>I249*L249</f>
        <v>50000000</v>
      </c>
      <c r="P249" s="576"/>
      <c r="Q249" s="312"/>
      <c r="R249" s="274"/>
      <c r="S249" s="274"/>
    </row>
    <row r="250" spans="1:19" ht="14.1" customHeight="1" x14ac:dyDescent="0.15">
      <c r="A250" s="293"/>
      <c r="B250" s="293"/>
      <c r="C250" s="711" t="s">
        <v>399</v>
      </c>
      <c r="D250" s="716"/>
      <c r="E250" s="280">
        <v>131620</v>
      </c>
      <c r="F250" s="280">
        <f>SUM(F251,F259,F266)</f>
        <v>136620</v>
      </c>
      <c r="G250" s="280">
        <f t="shared" si="23"/>
        <v>5000</v>
      </c>
      <c r="H250" s="146" t="s">
        <v>157</v>
      </c>
      <c r="I250" s="147"/>
      <c r="J250" s="148"/>
      <c r="K250" s="182"/>
      <c r="L250" s="150"/>
      <c r="M250" s="182"/>
      <c r="N250" s="151"/>
      <c r="O250" s="142">
        <f>SUM(O251,O259,O266)</f>
        <v>136620000</v>
      </c>
    </row>
    <row r="251" spans="1:19" ht="13.5" customHeight="1" x14ac:dyDescent="0.15">
      <c r="A251" s="293"/>
      <c r="B251" s="293"/>
      <c r="C251" s="293"/>
      <c r="D251" s="293" t="s">
        <v>400</v>
      </c>
      <c r="E251" s="223">
        <v>6620</v>
      </c>
      <c r="F251" s="223">
        <f>O251/1000</f>
        <v>11620</v>
      </c>
      <c r="G251" s="162">
        <f t="shared" si="23"/>
        <v>5000</v>
      </c>
      <c r="H251" s="593" t="s">
        <v>709</v>
      </c>
      <c r="I251" s="145"/>
      <c r="J251" s="137"/>
      <c r="K251" s="183"/>
      <c r="L251" s="139"/>
      <c r="M251" s="183"/>
      <c r="N251" s="140"/>
      <c r="O251" s="136">
        <f>SUM(O252:O258)</f>
        <v>11620000</v>
      </c>
    </row>
    <row r="252" spans="1:19" ht="13.5" customHeight="1" x14ac:dyDescent="0.15">
      <c r="A252" s="320"/>
      <c r="B252" s="320"/>
      <c r="C252" s="320"/>
      <c r="D252" s="320"/>
      <c r="E252" s="322"/>
      <c r="F252" s="322"/>
      <c r="G252" s="322">
        <f t="shared" si="23"/>
        <v>0</v>
      </c>
      <c r="H252" s="146" t="s">
        <v>710</v>
      </c>
      <c r="I252" s="147">
        <v>200000</v>
      </c>
      <c r="J252" s="148" t="s">
        <v>700</v>
      </c>
      <c r="K252" s="182" t="s">
        <v>106</v>
      </c>
      <c r="L252" s="151">
        <v>1</v>
      </c>
      <c r="M252" s="182" t="s">
        <v>707</v>
      </c>
      <c r="N252" s="151" t="s">
        <v>702</v>
      </c>
      <c r="O252" s="142">
        <f t="shared" ref="O252:O258" si="42">SUM(I252*L252)</f>
        <v>200000</v>
      </c>
    </row>
    <row r="253" spans="1:19" ht="13.5" customHeight="1" x14ac:dyDescent="0.15">
      <c r="A253" s="293"/>
      <c r="B253" s="293"/>
      <c r="C253" s="511"/>
      <c r="D253" s="293"/>
      <c r="E253" s="223"/>
      <c r="F253" s="223"/>
      <c r="G253" s="223">
        <f t="shared" si="23"/>
        <v>0</v>
      </c>
      <c r="H253" s="593" t="s">
        <v>711</v>
      </c>
      <c r="I253" s="145">
        <v>1280000</v>
      </c>
      <c r="J253" s="137" t="s">
        <v>700</v>
      </c>
      <c r="K253" s="183" t="s">
        <v>106</v>
      </c>
      <c r="L253" s="140">
        <v>4</v>
      </c>
      <c r="M253" s="183" t="s">
        <v>712</v>
      </c>
      <c r="N253" s="140" t="s">
        <v>702</v>
      </c>
      <c r="O253" s="136">
        <f t="shared" si="42"/>
        <v>5120000</v>
      </c>
    </row>
    <row r="254" spans="1:19" ht="13.5" customHeight="1" x14ac:dyDescent="0.15">
      <c r="A254" s="293"/>
      <c r="B254" s="293"/>
      <c r="C254" s="511"/>
      <c r="D254" s="293"/>
      <c r="E254" s="223"/>
      <c r="F254" s="223"/>
      <c r="G254" s="223">
        <f t="shared" si="23"/>
        <v>0</v>
      </c>
      <c r="H254" s="593" t="s">
        <v>713</v>
      </c>
      <c r="I254" s="145">
        <v>50000</v>
      </c>
      <c r="J254" s="137" t="s">
        <v>700</v>
      </c>
      <c r="K254" s="183" t="s">
        <v>106</v>
      </c>
      <c r="L254" s="140">
        <v>3</v>
      </c>
      <c r="M254" s="183" t="s">
        <v>714</v>
      </c>
      <c r="N254" s="140" t="s">
        <v>702</v>
      </c>
      <c r="O254" s="136">
        <f t="shared" si="42"/>
        <v>150000</v>
      </c>
    </row>
    <row r="255" spans="1:19" ht="13.5" customHeight="1" x14ac:dyDescent="0.15">
      <c r="A255" s="293"/>
      <c r="B255" s="293"/>
      <c r="C255" s="293"/>
      <c r="D255" s="293"/>
      <c r="E255" s="223"/>
      <c r="F255" s="223"/>
      <c r="G255" s="223">
        <f t="shared" si="23"/>
        <v>0</v>
      </c>
      <c r="H255" s="593" t="s">
        <v>715</v>
      </c>
      <c r="I255" s="145">
        <v>800000</v>
      </c>
      <c r="J255" s="137" t="s">
        <v>700</v>
      </c>
      <c r="K255" s="183" t="s">
        <v>106</v>
      </c>
      <c r="L255" s="140">
        <v>1</v>
      </c>
      <c r="M255" s="183" t="s">
        <v>707</v>
      </c>
      <c r="N255" s="140" t="s">
        <v>702</v>
      </c>
      <c r="O255" s="136">
        <f t="shared" si="42"/>
        <v>800000</v>
      </c>
    </row>
    <row r="256" spans="1:19" ht="13.5" customHeight="1" x14ac:dyDescent="0.15">
      <c r="A256" s="293"/>
      <c r="B256" s="293"/>
      <c r="C256" s="511"/>
      <c r="D256" s="293"/>
      <c r="E256" s="223"/>
      <c r="F256" s="223"/>
      <c r="G256" s="223">
        <f t="shared" si="23"/>
        <v>0</v>
      </c>
      <c r="H256" s="593" t="s">
        <v>716</v>
      </c>
      <c r="I256" s="145">
        <v>100000</v>
      </c>
      <c r="J256" s="137" t="s">
        <v>700</v>
      </c>
      <c r="K256" s="183" t="s">
        <v>106</v>
      </c>
      <c r="L256" s="140">
        <v>2</v>
      </c>
      <c r="M256" s="183" t="s">
        <v>707</v>
      </c>
      <c r="N256" s="140" t="s">
        <v>702</v>
      </c>
      <c r="O256" s="136">
        <f t="shared" si="42"/>
        <v>200000</v>
      </c>
    </row>
    <row r="257" spans="1:19" ht="13.5" customHeight="1" x14ac:dyDescent="0.15">
      <c r="A257" s="293"/>
      <c r="B257" s="293"/>
      <c r="C257" s="662"/>
      <c r="D257" s="293"/>
      <c r="E257" s="223"/>
      <c r="F257" s="223"/>
      <c r="G257" s="223"/>
      <c r="H257" s="663" t="s">
        <v>721</v>
      </c>
      <c r="I257" s="145">
        <v>5000000</v>
      </c>
      <c r="J257" s="137" t="s">
        <v>78</v>
      </c>
      <c r="K257" s="183" t="s">
        <v>106</v>
      </c>
      <c r="L257" s="140">
        <v>1</v>
      </c>
      <c r="M257" s="183" t="s">
        <v>82</v>
      </c>
      <c r="N257" s="140" t="s">
        <v>81</v>
      </c>
      <c r="O257" s="136">
        <f t="shared" ref="O257" si="43">SUM(I257*L257)</f>
        <v>5000000</v>
      </c>
    </row>
    <row r="258" spans="1:19" ht="13.5" customHeight="1" x14ac:dyDescent="0.15">
      <c r="A258" s="293"/>
      <c r="B258" s="293"/>
      <c r="C258" s="511"/>
      <c r="D258" s="320"/>
      <c r="E258" s="322"/>
      <c r="F258" s="322"/>
      <c r="G258" s="322">
        <f t="shared" si="23"/>
        <v>0</v>
      </c>
      <c r="H258" s="146" t="s">
        <v>717</v>
      </c>
      <c r="I258" s="147">
        <v>50000</v>
      </c>
      <c r="J258" s="148" t="s">
        <v>700</v>
      </c>
      <c r="K258" s="182" t="s">
        <v>106</v>
      </c>
      <c r="L258" s="151">
        <v>3</v>
      </c>
      <c r="M258" s="182" t="s">
        <v>707</v>
      </c>
      <c r="N258" s="151" t="s">
        <v>702</v>
      </c>
      <c r="O258" s="142">
        <f t="shared" si="42"/>
        <v>150000</v>
      </c>
    </row>
    <row r="259" spans="1:19" ht="13.5" customHeight="1" x14ac:dyDescent="0.15">
      <c r="A259" s="293"/>
      <c r="B259" s="293"/>
      <c r="C259" s="511"/>
      <c r="D259" s="293" t="s">
        <v>401</v>
      </c>
      <c r="E259" s="223">
        <v>3200</v>
      </c>
      <c r="F259" s="223">
        <f>O259/1000</f>
        <v>3200</v>
      </c>
      <c r="G259" s="162">
        <f t="shared" si="23"/>
        <v>0</v>
      </c>
      <c r="H259" s="508" t="s">
        <v>158</v>
      </c>
      <c r="I259" s="145"/>
      <c r="J259" s="137"/>
      <c r="K259" s="183"/>
      <c r="L259" s="139"/>
      <c r="M259" s="183"/>
      <c r="N259" s="140"/>
      <c r="O259" s="136">
        <f>SUM(O260:O265)</f>
        <v>3200000</v>
      </c>
    </row>
    <row r="260" spans="1:19" s="377" customFormat="1" ht="13.5" customHeight="1" x14ac:dyDescent="0.15">
      <c r="A260" s="293"/>
      <c r="B260" s="293"/>
      <c r="C260" s="511"/>
      <c r="D260" s="293"/>
      <c r="E260" s="223"/>
      <c r="F260" s="223"/>
      <c r="G260" s="223">
        <f t="shared" ref="G260:G331" si="44">F260-E260</f>
        <v>0</v>
      </c>
      <c r="H260" s="508" t="s">
        <v>199</v>
      </c>
      <c r="I260" s="145">
        <v>1800000</v>
      </c>
      <c r="J260" s="137" t="s">
        <v>78</v>
      </c>
      <c r="K260" s="183" t="s">
        <v>106</v>
      </c>
      <c r="L260" s="140">
        <v>1</v>
      </c>
      <c r="M260" s="183" t="s">
        <v>82</v>
      </c>
      <c r="N260" s="140" t="s">
        <v>81</v>
      </c>
      <c r="O260" s="136">
        <f>SUM(I260*L260)</f>
        <v>1800000</v>
      </c>
      <c r="P260" s="576"/>
      <c r="Q260" s="312"/>
      <c r="R260" s="274"/>
      <c r="S260" s="274"/>
    </row>
    <row r="261" spans="1:19" s="377" customFormat="1" ht="13.5" customHeight="1" x14ac:dyDescent="0.15">
      <c r="A261" s="293"/>
      <c r="B261" s="293"/>
      <c r="C261" s="511"/>
      <c r="D261" s="293"/>
      <c r="E261" s="223"/>
      <c r="F261" s="223"/>
      <c r="G261" s="223">
        <f t="shared" si="44"/>
        <v>0</v>
      </c>
      <c r="H261" s="508" t="s">
        <v>200</v>
      </c>
      <c r="I261" s="145">
        <v>480000</v>
      </c>
      <c r="J261" s="137" t="s">
        <v>78</v>
      </c>
      <c r="K261" s="183" t="s">
        <v>106</v>
      </c>
      <c r="L261" s="140">
        <v>1</v>
      </c>
      <c r="M261" s="183" t="s">
        <v>82</v>
      </c>
      <c r="N261" s="140" t="s">
        <v>81</v>
      </c>
      <c r="O261" s="136">
        <f t="shared" ref="O261:O262" si="45">SUM(I261*L261)</f>
        <v>480000</v>
      </c>
      <c r="P261" s="576"/>
      <c r="Q261" s="312"/>
      <c r="R261" s="274"/>
      <c r="S261" s="274"/>
    </row>
    <row r="262" spans="1:19" s="377" customFormat="1" ht="13.5" customHeight="1" x14ac:dyDescent="0.15">
      <c r="A262" s="293"/>
      <c r="B262" s="293"/>
      <c r="C262" s="511"/>
      <c r="D262" s="293"/>
      <c r="E262" s="223"/>
      <c r="F262" s="223"/>
      <c r="G262" s="223">
        <f t="shared" si="44"/>
        <v>0</v>
      </c>
      <c r="H262" s="508" t="s">
        <v>201</v>
      </c>
      <c r="I262" s="145">
        <v>400000</v>
      </c>
      <c r="J262" s="137" t="s">
        <v>78</v>
      </c>
      <c r="K262" s="183" t="s">
        <v>106</v>
      </c>
      <c r="L262" s="140">
        <v>1</v>
      </c>
      <c r="M262" s="183" t="s">
        <v>82</v>
      </c>
      <c r="N262" s="140" t="s">
        <v>81</v>
      </c>
      <c r="O262" s="136">
        <f t="shared" si="45"/>
        <v>400000</v>
      </c>
      <c r="P262" s="576"/>
      <c r="Q262" s="312"/>
      <c r="R262" s="274"/>
      <c r="S262" s="274"/>
    </row>
    <row r="263" spans="1:19" ht="13.5" customHeight="1" x14ac:dyDescent="0.15">
      <c r="A263" s="293"/>
      <c r="B263" s="293"/>
      <c r="C263" s="511"/>
      <c r="D263" s="293"/>
      <c r="E263" s="223"/>
      <c r="F263" s="223"/>
      <c r="G263" s="223">
        <f t="shared" si="44"/>
        <v>0</v>
      </c>
      <c r="H263" s="508" t="s">
        <v>159</v>
      </c>
      <c r="I263" s="145">
        <v>45000</v>
      </c>
      <c r="J263" s="137" t="s">
        <v>100</v>
      </c>
      <c r="K263" s="138" t="s">
        <v>202</v>
      </c>
      <c r="L263" s="139" t="s">
        <v>135</v>
      </c>
      <c r="M263" s="140">
        <v>1</v>
      </c>
      <c r="N263" s="139" t="s">
        <v>105</v>
      </c>
      <c r="O263" s="136">
        <f>SUM(I263*K263*M263)</f>
        <v>180000</v>
      </c>
    </row>
    <row r="264" spans="1:19" ht="13.5" customHeight="1" x14ac:dyDescent="0.15">
      <c r="A264" s="293"/>
      <c r="B264" s="293"/>
      <c r="C264" s="511"/>
      <c r="D264" s="293"/>
      <c r="E264" s="223"/>
      <c r="F264" s="223"/>
      <c r="G264" s="223">
        <f t="shared" si="44"/>
        <v>0</v>
      </c>
      <c r="H264" s="508" t="s">
        <v>160</v>
      </c>
      <c r="I264" s="145">
        <v>80000</v>
      </c>
      <c r="J264" s="137" t="s">
        <v>100</v>
      </c>
      <c r="K264" s="138" t="s">
        <v>110</v>
      </c>
      <c r="L264" s="139" t="s">
        <v>135</v>
      </c>
      <c r="M264" s="140">
        <v>1</v>
      </c>
      <c r="N264" s="139" t="s">
        <v>105</v>
      </c>
      <c r="O264" s="136">
        <f>SUM(I264*K264*M264)</f>
        <v>240000</v>
      </c>
    </row>
    <row r="265" spans="1:19" ht="13.5" customHeight="1" x14ac:dyDescent="0.15">
      <c r="A265" s="293"/>
      <c r="B265" s="293"/>
      <c r="C265" s="511"/>
      <c r="D265" s="293"/>
      <c r="E265" s="223"/>
      <c r="F265" s="223"/>
      <c r="G265" s="223"/>
      <c r="H265" s="146" t="s">
        <v>161</v>
      </c>
      <c r="I265" s="147">
        <v>100000</v>
      </c>
      <c r="J265" s="148" t="s">
        <v>78</v>
      </c>
      <c r="K265" s="182" t="s">
        <v>104</v>
      </c>
      <c r="L265" s="151">
        <v>1</v>
      </c>
      <c r="M265" s="182" t="s">
        <v>82</v>
      </c>
      <c r="N265" s="151" t="s">
        <v>81</v>
      </c>
      <c r="O265" s="142">
        <f>SUM(I265*L265)</f>
        <v>100000</v>
      </c>
    </row>
    <row r="266" spans="1:19" s="377" customFormat="1" ht="13.5" customHeight="1" x14ac:dyDescent="0.15">
      <c r="A266" s="293"/>
      <c r="B266" s="293"/>
      <c r="C266" s="511"/>
      <c r="D266" s="339" t="s">
        <v>475</v>
      </c>
      <c r="E266" s="175">
        <v>121800</v>
      </c>
      <c r="F266" s="175">
        <f>O266/1000</f>
        <v>121800</v>
      </c>
      <c r="G266" s="175">
        <f t="shared" ref="G266" si="46">F266-E266</f>
        <v>0</v>
      </c>
      <c r="H266" s="337" t="s">
        <v>146</v>
      </c>
      <c r="I266" s="192">
        <v>30450000</v>
      </c>
      <c r="J266" s="193" t="s">
        <v>78</v>
      </c>
      <c r="K266" s="342" t="s">
        <v>106</v>
      </c>
      <c r="L266" s="588">
        <v>4</v>
      </c>
      <c r="M266" s="194" t="s">
        <v>82</v>
      </c>
      <c r="N266" s="588" t="s">
        <v>81</v>
      </c>
      <c r="O266" s="196">
        <f t="shared" ref="O266" si="47">SUM(I266*L266)</f>
        <v>121800000</v>
      </c>
      <c r="P266" s="576"/>
      <c r="Q266" s="312"/>
      <c r="R266" s="274"/>
      <c r="S266" s="274"/>
    </row>
    <row r="267" spans="1:19" ht="13.5" customHeight="1" x14ac:dyDescent="0.15">
      <c r="A267" s="293"/>
      <c r="B267" s="293"/>
      <c r="C267" s="711" t="s">
        <v>402</v>
      </c>
      <c r="D267" s="713"/>
      <c r="E267" s="162">
        <v>48160</v>
      </c>
      <c r="F267" s="162">
        <f>O267/1000</f>
        <v>31200</v>
      </c>
      <c r="G267" s="162">
        <f t="shared" si="44"/>
        <v>-16960</v>
      </c>
      <c r="H267" s="184" t="s">
        <v>136</v>
      </c>
      <c r="I267" s="185"/>
      <c r="J267" s="186"/>
      <c r="K267" s="187"/>
      <c r="L267" s="188"/>
      <c r="M267" s="187"/>
      <c r="N267" s="188"/>
      <c r="O267" s="189">
        <f>SUM(O268:O271)</f>
        <v>31200000</v>
      </c>
    </row>
    <row r="268" spans="1:19" ht="13.5" customHeight="1" x14ac:dyDescent="0.15">
      <c r="A268" s="293"/>
      <c r="B268" s="293"/>
      <c r="C268" s="511"/>
      <c r="D268" s="512"/>
      <c r="E268" s="223"/>
      <c r="F268" s="223"/>
      <c r="G268" s="223">
        <f t="shared" si="44"/>
        <v>0</v>
      </c>
      <c r="H268" s="508" t="s">
        <v>137</v>
      </c>
      <c r="I268" s="145">
        <v>300000</v>
      </c>
      <c r="J268" s="137" t="s">
        <v>100</v>
      </c>
      <c r="K268" s="138" t="s">
        <v>202</v>
      </c>
      <c r="L268" s="139" t="s">
        <v>135</v>
      </c>
      <c r="M268" s="140">
        <v>12</v>
      </c>
      <c r="N268" s="139" t="s">
        <v>103</v>
      </c>
      <c r="O268" s="136">
        <f>SUM(I268*K268*M268)</f>
        <v>14400000</v>
      </c>
    </row>
    <row r="269" spans="1:19" ht="13.5" customHeight="1" x14ac:dyDescent="0.15">
      <c r="A269" s="293"/>
      <c r="B269" s="293"/>
      <c r="C269" s="511"/>
      <c r="D269" s="512"/>
      <c r="E269" s="223"/>
      <c r="F269" s="223">
        <v>0</v>
      </c>
      <c r="G269" s="223">
        <f t="shared" si="44"/>
        <v>0</v>
      </c>
      <c r="H269" s="508" t="s">
        <v>162</v>
      </c>
      <c r="I269" s="145">
        <v>100000</v>
      </c>
      <c r="J269" s="137" t="s">
        <v>100</v>
      </c>
      <c r="K269" s="138" t="s">
        <v>202</v>
      </c>
      <c r="L269" s="139" t="s">
        <v>135</v>
      </c>
      <c r="M269" s="140">
        <v>12</v>
      </c>
      <c r="N269" s="139" t="s">
        <v>103</v>
      </c>
      <c r="O269" s="136">
        <f>SUM(I269*K269*M269)</f>
        <v>4800000</v>
      </c>
      <c r="P269" s="576" t="s">
        <v>573</v>
      </c>
    </row>
    <row r="270" spans="1:19" ht="13.5" customHeight="1" x14ac:dyDescent="0.15">
      <c r="A270" s="293"/>
      <c r="B270" s="293"/>
      <c r="C270" s="511"/>
      <c r="D270" s="512"/>
      <c r="E270" s="223"/>
      <c r="F270" s="223">
        <f>F269/12/4</f>
        <v>0</v>
      </c>
      <c r="G270" s="223">
        <f t="shared" si="44"/>
        <v>0</v>
      </c>
      <c r="H270" s="507" t="s">
        <v>224</v>
      </c>
      <c r="I270" s="145">
        <v>2000000</v>
      </c>
      <c r="J270" s="137" t="s">
        <v>100</v>
      </c>
      <c r="K270" s="138" t="s">
        <v>718</v>
      </c>
      <c r="L270" s="139" t="s">
        <v>135</v>
      </c>
      <c r="M270" s="140">
        <v>1</v>
      </c>
      <c r="N270" s="139" t="s">
        <v>105</v>
      </c>
      <c r="O270" s="136">
        <f>SUM(I270*K270*M270)</f>
        <v>4000000</v>
      </c>
    </row>
    <row r="271" spans="1:19" ht="13.5" customHeight="1" x14ac:dyDescent="0.15">
      <c r="A271" s="320"/>
      <c r="B271" s="320"/>
      <c r="C271" s="497"/>
      <c r="D271" s="498"/>
      <c r="E271" s="322"/>
      <c r="F271" s="322"/>
      <c r="G271" s="322">
        <f t="shared" si="44"/>
        <v>0</v>
      </c>
      <c r="H271" s="146" t="s">
        <v>138</v>
      </c>
      <c r="I271" s="147">
        <v>1000000</v>
      </c>
      <c r="J271" s="148" t="s">
        <v>100</v>
      </c>
      <c r="K271" s="149" t="s">
        <v>202</v>
      </c>
      <c r="L271" s="150" t="s">
        <v>135</v>
      </c>
      <c r="M271" s="151">
        <v>2</v>
      </c>
      <c r="N271" s="150" t="s">
        <v>105</v>
      </c>
      <c r="O271" s="142">
        <f>SUM(I271*K271*M271)</f>
        <v>8000000</v>
      </c>
    </row>
    <row r="272" spans="1:19" s="340" customFormat="1" ht="14.1" customHeight="1" x14ac:dyDescent="0.15">
      <c r="A272" s="758" t="s">
        <v>7</v>
      </c>
      <c r="B272" s="756"/>
      <c r="C272" s="756"/>
      <c r="D272" s="757"/>
      <c r="E272" s="343">
        <v>442881</v>
      </c>
      <c r="F272" s="343">
        <f t="shared" ref="F272" si="48">SUM(F273)</f>
        <v>259380</v>
      </c>
      <c r="G272" s="343">
        <f t="shared" si="44"/>
        <v>-183501</v>
      </c>
      <c r="H272" s="146"/>
      <c r="I272" s="147"/>
      <c r="J272" s="179"/>
      <c r="K272" s="180"/>
      <c r="L272" s="513"/>
      <c r="M272" s="180"/>
      <c r="N272" s="190"/>
      <c r="O272" s="142"/>
      <c r="P272" s="582"/>
      <c r="Q272" s="574"/>
    </row>
    <row r="273" spans="1:19" s="294" customFormat="1" ht="14.1" customHeight="1" x14ac:dyDescent="0.15">
      <c r="A273" s="293"/>
      <c r="B273" s="711" t="s">
        <v>8</v>
      </c>
      <c r="C273" s="715"/>
      <c r="D273" s="716"/>
      <c r="E273" s="280">
        <v>442881</v>
      </c>
      <c r="F273" s="280">
        <f>SUM(F274,F279,F285)</f>
        <v>259380</v>
      </c>
      <c r="G273" s="280">
        <f t="shared" si="44"/>
        <v>-183501</v>
      </c>
      <c r="H273" s="191"/>
      <c r="I273" s="192"/>
      <c r="J273" s="193"/>
      <c r="K273" s="194"/>
      <c r="L273" s="503"/>
      <c r="M273" s="194"/>
      <c r="N273" s="195"/>
      <c r="O273" s="196"/>
      <c r="P273" s="578"/>
      <c r="Q273" s="455"/>
    </row>
    <row r="274" spans="1:19" ht="14.1" customHeight="1" x14ac:dyDescent="0.15">
      <c r="A274" s="293"/>
      <c r="B274" s="293"/>
      <c r="C274" s="709" t="s">
        <v>9</v>
      </c>
      <c r="D274" s="710"/>
      <c r="E274" s="162">
        <v>200500</v>
      </c>
      <c r="F274" s="162">
        <f>O274/1000</f>
        <v>200500</v>
      </c>
      <c r="G274" s="162">
        <f t="shared" si="44"/>
        <v>0</v>
      </c>
      <c r="H274" s="197" t="s">
        <v>163</v>
      </c>
      <c r="I274" s="185"/>
      <c r="J274" s="186"/>
      <c r="K274" s="187"/>
      <c r="L274" s="188"/>
      <c r="M274" s="187"/>
      <c r="N274" s="188"/>
      <c r="O274" s="209">
        <f>O275+O276+O278+O277</f>
        <v>200500000</v>
      </c>
    </row>
    <row r="275" spans="1:19" s="377" customFormat="1" ht="12.95" customHeight="1" x14ac:dyDescent="0.15">
      <c r="A275" s="293"/>
      <c r="B275" s="293"/>
      <c r="C275" s="511"/>
      <c r="D275" s="512"/>
      <c r="E275" s="223"/>
      <c r="F275" s="223"/>
      <c r="G275" s="223"/>
      <c r="H275" s="507" t="s">
        <v>509</v>
      </c>
      <c r="I275" s="145">
        <v>6500000</v>
      </c>
      <c r="J275" s="137" t="s">
        <v>78</v>
      </c>
      <c r="K275" s="183" t="s">
        <v>106</v>
      </c>
      <c r="L275" s="140">
        <v>1</v>
      </c>
      <c r="M275" s="183" t="s">
        <v>134</v>
      </c>
      <c r="N275" s="140" t="s">
        <v>81</v>
      </c>
      <c r="O275" s="136">
        <v>6500000</v>
      </c>
      <c r="P275" s="576"/>
      <c r="Q275" s="312"/>
      <c r="R275" s="274"/>
      <c r="S275" s="274"/>
    </row>
    <row r="276" spans="1:19" ht="14.1" customHeight="1" x14ac:dyDescent="0.15">
      <c r="A276" s="293"/>
      <c r="B276" s="293"/>
      <c r="C276" s="511"/>
      <c r="D276" s="512"/>
      <c r="E276" s="223"/>
      <c r="F276" s="223"/>
      <c r="G276" s="223"/>
      <c r="H276" s="553" t="s">
        <v>508</v>
      </c>
      <c r="I276" s="56">
        <v>116050000</v>
      </c>
      <c r="J276" s="554" t="s">
        <v>241</v>
      </c>
      <c r="K276" s="552" t="s">
        <v>106</v>
      </c>
      <c r="L276" s="555">
        <v>1</v>
      </c>
      <c r="M276" s="552" t="s">
        <v>242</v>
      </c>
      <c r="N276" s="555" t="s">
        <v>240</v>
      </c>
      <c r="O276" s="119">
        <f>I276*L276</f>
        <v>116050000</v>
      </c>
    </row>
    <row r="277" spans="1:19" ht="14.1" customHeight="1" x14ac:dyDescent="0.15">
      <c r="A277" s="293"/>
      <c r="B277" s="293"/>
      <c r="C277" s="511"/>
      <c r="D277" s="512"/>
      <c r="E277" s="223"/>
      <c r="F277" s="223"/>
      <c r="G277" s="223"/>
      <c r="H277" s="556" t="s">
        <v>532</v>
      </c>
      <c r="I277" s="557">
        <f>30000000+37950000</f>
        <v>67950000</v>
      </c>
      <c r="J277" s="558" t="s">
        <v>78</v>
      </c>
      <c r="K277" s="559" t="s">
        <v>106</v>
      </c>
      <c r="L277" s="560">
        <v>1</v>
      </c>
      <c r="M277" s="559" t="s">
        <v>82</v>
      </c>
      <c r="N277" s="560" t="s">
        <v>81</v>
      </c>
      <c r="O277" s="561">
        <f>SUM(I277*L277)</f>
        <v>67950000</v>
      </c>
    </row>
    <row r="278" spans="1:19" s="430" customFormat="1" ht="12.95" customHeight="1" x14ac:dyDescent="0.15">
      <c r="A278" s="293"/>
      <c r="B278" s="293"/>
      <c r="C278" s="511"/>
      <c r="D278" s="512"/>
      <c r="E278" s="223"/>
      <c r="F278" s="223"/>
      <c r="G278" s="223"/>
      <c r="H278" s="507" t="s">
        <v>545</v>
      </c>
      <c r="I278" s="145">
        <v>10000000</v>
      </c>
      <c r="J278" s="137" t="s">
        <v>78</v>
      </c>
      <c r="K278" s="183" t="s">
        <v>106</v>
      </c>
      <c r="L278" s="140">
        <v>1</v>
      </c>
      <c r="M278" s="183" t="s">
        <v>82</v>
      </c>
      <c r="N278" s="140" t="s">
        <v>81</v>
      </c>
      <c r="O278" s="136">
        <f>SUM(I278*L278)</f>
        <v>10000000</v>
      </c>
      <c r="P278" s="576"/>
      <c r="Q278" s="312"/>
      <c r="R278" s="274"/>
      <c r="S278" s="274"/>
    </row>
    <row r="279" spans="1:19" ht="12.95" customHeight="1" x14ac:dyDescent="0.15">
      <c r="A279" s="293"/>
      <c r="B279" s="293"/>
      <c r="C279" s="709" t="s">
        <v>10</v>
      </c>
      <c r="D279" s="710"/>
      <c r="E279" s="162">
        <v>167500</v>
      </c>
      <c r="F279" s="162">
        <f>O279/1000</f>
        <v>22200</v>
      </c>
      <c r="G279" s="162">
        <f t="shared" si="44"/>
        <v>-145300</v>
      </c>
      <c r="H279" s="197" t="s">
        <v>164</v>
      </c>
      <c r="I279" s="185"/>
      <c r="J279" s="202"/>
      <c r="K279" s="203"/>
      <c r="L279" s="204"/>
      <c r="M279" s="203"/>
      <c r="N279" s="204"/>
      <c r="O279" s="209">
        <f>SUM(O280:O284)</f>
        <v>22200000</v>
      </c>
    </row>
    <row r="280" spans="1:19" ht="12.95" customHeight="1" x14ac:dyDescent="0.15">
      <c r="A280" s="293"/>
      <c r="B280" s="293"/>
      <c r="C280" s="511"/>
      <c r="D280" s="512"/>
      <c r="E280" s="223"/>
      <c r="F280" s="223"/>
      <c r="G280" s="223"/>
      <c r="H280" s="507" t="s">
        <v>338</v>
      </c>
      <c r="I280" s="145">
        <v>2200000</v>
      </c>
      <c r="J280" s="137" t="s">
        <v>78</v>
      </c>
      <c r="K280" s="183" t="s">
        <v>106</v>
      </c>
      <c r="L280" s="140">
        <v>1</v>
      </c>
      <c r="M280" s="183" t="s">
        <v>134</v>
      </c>
      <c r="N280" s="140" t="s">
        <v>81</v>
      </c>
      <c r="O280" s="136">
        <f t="shared" ref="O280" si="49">SUM(I280*L280)</f>
        <v>2200000</v>
      </c>
    </row>
    <row r="281" spans="1:19" ht="12.95" customHeight="1" x14ac:dyDescent="0.15">
      <c r="A281" s="293"/>
      <c r="B281" s="293"/>
      <c r="C281" s="511"/>
      <c r="D281" s="512"/>
      <c r="E281" s="223"/>
      <c r="F281" s="223"/>
      <c r="G281" s="223"/>
      <c r="H281" s="507" t="s">
        <v>534</v>
      </c>
      <c r="I281" s="145">
        <v>0</v>
      </c>
      <c r="J281" s="137" t="s">
        <v>78</v>
      </c>
      <c r="K281" s="183" t="s">
        <v>106</v>
      </c>
      <c r="L281" s="140">
        <v>0</v>
      </c>
      <c r="M281" s="183" t="s">
        <v>134</v>
      </c>
      <c r="N281" s="140" t="s">
        <v>81</v>
      </c>
      <c r="O281" s="136">
        <f t="shared" ref="O281" si="50">SUM(I281*L281)</f>
        <v>0</v>
      </c>
    </row>
    <row r="282" spans="1:19" s="377" customFormat="1" ht="12.95" customHeight="1" x14ac:dyDescent="0.15">
      <c r="A282" s="293"/>
      <c r="B282" s="293"/>
      <c r="C282" s="511"/>
      <c r="D282" s="512"/>
      <c r="E282" s="223"/>
      <c r="F282" s="223"/>
      <c r="G282" s="223"/>
      <c r="H282" s="507" t="s">
        <v>535</v>
      </c>
      <c r="I282" s="145">
        <v>0</v>
      </c>
      <c r="J282" s="137" t="s">
        <v>78</v>
      </c>
      <c r="K282" s="183" t="s">
        <v>106</v>
      </c>
      <c r="L282" s="140">
        <v>0</v>
      </c>
      <c r="M282" s="183" t="s">
        <v>134</v>
      </c>
      <c r="N282" s="140" t="s">
        <v>81</v>
      </c>
      <c r="O282" s="136">
        <f>I282*L282</f>
        <v>0</v>
      </c>
      <c r="P282" s="576"/>
      <c r="Q282" s="312"/>
      <c r="R282" s="274"/>
      <c r="S282" s="274"/>
    </row>
    <row r="283" spans="1:19" s="430" customFormat="1" ht="12.95" customHeight="1" x14ac:dyDescent="0.15">
      <c r="A283" s="293"/>
      <c r="B283" s="293"/>
      <c r="C283" s="511"/>
      <c r="D283" s="512"/>
      <c r="E283" s="223"/>
      <c r="F283" s="223"/>
      <c r="G283" s="223"/>
      <c r="H283" s="507" t="s">
        <v>536</v>
      </c>
      <c r="I283" s="198">
        <v>20000000</v>
      </c>
      <c r="J283" s="215" t="s">
        <v>78</v>
      </c>
      <c r="K283" s="550" t="s">
        <v>106</v>
      </c>
      <c r="L283" s="216">
        <v>1</v>
      </c>
      <c r="M283" s="550" t="s">
        <v>82</v>
      </c>
      <c r="N283" s="216" t="s">
        <v>81</v>
      </c>
      <c r="O283" s="136">
        <f>SUM(I283*L283)</f>
        <v>20000000</v>
      </c>
      <c r="P283" s="576"/>
      <c r="Q283" s="312"/>
      <c r="R283" s="274"/>
      <c r="S283" s="274"/>
    </row>
    <row r="284" spans="1:19" ht="12.95" customHeight="1" x14ac:dyDescent="0.15">
      <c r="A284" s="293"/>
      <c r="B284" s="293"/>
      <c r="C284" s="497"/>
      <c r="D284" s="498"/>
      <c r="E284" s="322"/>
      <c r="F284" s="322"/>
      <c r="G284" s="322">
        <f t="shared" si="44"/>
        <v>0</v>
      </c>
      <c r="H284" s="227" t="s">
        <v>537</v>
      </c>
      <c r="I284" s="147">
        <v>0</v>
      </c>
      <c r="J284" s="148" t="s">
        <v>78</v>
      </c>
      <c r="K284" s="182" t="s">
        <v>106</v>
      </c>
      <c r="L284" s="151">
        <v>0</v>
      </c>
      <c r="M284" s="182" t="s">
        <v>82</v>
      </c>
      <c r="N284" s="151" t="s">
        <v>81</v>
      </c>
      <c r="O284" s="142">
        <f>SUM(I284*L284)</f>
        <v>0</v>
      </c>
    </row>
    <row r="285" spans="1:19" ht="12.95" customHeight="1" x14ac:dyDescent="0.15">
      <c r="A285" s="293"/>
      <c r="B285" s="293"/>
      <c r="C285" s="745" t="s">
        <v>11</v>
      </c>
      <c r="D285" s="746"/>
      <c r="E285" s="223">
        <v>74881</v>
      </c>
      <c r="F285" s="223">
        <f>O285/1000</f>
        <v>36680</v>
      </c>
      <c r="G285" s="162">
        <f t="shared" si="44"/>
        <v>-38201</v>
      </c>
      <c r="H285" s="508" t="s">
        <v>165</v>
      </c>
      <c r="I285" s="145"/>
      <c r="J285" s="137"/>
      <c r="K285" s="183"/>
      <c r="L285" s="139"/>
      <c r="M285" s="183"/>
      <c r="N285" s="140"/>
      <c r="O285" s="141">
        <f>SUM(O286:O295)</f>
        <v>36680000</v>
      </c>
    </row>
    <row r="286" spans="1:19" ht="12.95" customHeight="1" x14ac:dyDescent="0.15">
      <c r="A286" s="511"/>
      <c r="B286" s="293"/>
      <c r="C286" s="511"/>
      <c r="D286" s="512"/>
      <c r="E286" s="223"/>
      <c r="F286" s="223"/>
      <c r="G286" s="223">
        <f t="shared" si="44"/>
        <v>0</v>
      </c>
      <c r="H286" s="507" t="s">
        <v>335</v>
      </c>
      <c r="I286" s="145">
        <v>1500000</v>
      </c>
      <c r="J286" s="137" t="s">
        <v>78</v>
      </c>
      <c r="K286" s="183" t="s">
        <v>106</v>
      </c>
      <c r="L286" s="140">
        <v>2</v>
      </c>
      <c r="M286" s="183" t="s">
        <v>82</v>
      </c>
      <c r="N286" s="140" t="s">
        <v>81</v>
      </c>
      <c r="O286" s="136">
        <f>SUM(I286*L286)</f>
        <v>3000000</v>
      </c>
    </row>
    <row r="287" spans="1:19" ht="12.95" customHeight="1" x14ac:dyDescent="0.15">
      <c r="A287" s="511"/>
      <c r="B287" s="293"/>
      <c r="C287" s="511"/>
      <c r="D287" s="512"/>
      <c r="E287" s="223"/>
      <c r="F287" s="223"/>
      <c r="G287" s="223">
        <f t="shared" si="44"/>
        <v>0</v>
      </c>
      <c r="H287" s="507" t="s">
        <v>336</v>
      </c>
      <c r="I287" s="145">
        <v>1500000</v>
      </c>
      <c r="J287" s="137" t="s">
        <v>78</v>
      </c>
      <c r="K287" s="183" t="s">
        <v>106</v>
      </c>
      <c r="L287" s="140">
        <v>1</v>
      </c>
      <c r="M287" s="183" t="s">
        <v>82</v>
      </c>
      <c r="N287" s="140" t="s">
        <v>81</v>
      </c>
      <c r="O287" s="136">
        <f t="shared" ref="O287:O295" si="51">SUM(I287*L287)</f>
        <v>1500000</v>
      </c>
      <c r="P287" s="584"/>
    </row>
    <row r="288" spans="1:19" ht="12.95" customHeight="1" x14ac:dyDescent="0.15">
      <c r="A288" s="511"/>
      <c r="B288" s="293"/>
      <c r="C288" s="511"/>
      <c r="D288" s="512"/>
      <c r="E288" s="223"/>
      <c r="F288" s="223"/>
      <c r="G288" s="223">
        <f t="shared" si="44"/>
        <v>0</v>
      </c>
      <c r="H288" s="507" t="s">
        <v>337</v>
      </c>
      <c r="I288" s="145">
        <v>590000</v>
      </c>
      <c r="J288" s="137" t="s">
        <v>78</v>
      </c>
      <c r="K288" s="183" t="s">
        <v>106</v>
      </c>
      <c r="L288" s="140">
        <v>12</v>
      </c>
      <c r="M288" s="183" t="s">
        <v>82</v>
      </c>
      <c r="N288" s="140" t="s">
        <v>81</v>
      </c>
      <c r="O288" s="136">
        <f t="shared" si="51"/>
        <v>7080000</v>
      </c>
    </row>
    <row r="289" spans="1:19" ht="12.95" customHeight="1" x14ac:dyDescent="0.15">
      <c r="A289" s="511"/>
      <c r="B289" s="293"/>
      <c r="C289" s="511"/>
      <c r="D289" s="312"/>
      <c r="E289" s="223"/>
      <c r="F289" s="223"/>
      <c r="G289" s="223">
        <f t="shared" si="44"/>
        <v>0</v>
      </c>
      <c r="H289" s="507" t="s">
        <v>203</v>
      </c>
      <c r="I289" s="145">
        <v>600000</v>
      </c>
      <c r="J289" s="137" t="s">
        <v>78</v>
      </c>
      <c r="K289" s="183" t="s">
        <v>106</v>
      </c>
      <c r="L289" s="140">
        <v>3</v>
      </c>
      <c r="M289" s="183" t="s">
        <v>82</v>
      </c>
      <c r="N289" s="140" t="s">
        <v>81</v>
      </c>
      <c r="O289" s="136">
        <f t="shared" si="51"/>
        <v>1800000</v>
      </c>
    </row>
    <row r="290" spans="1:19" ht="12.95" customHeight="1" x14ac:dyDescent="0.15">
      <c r="A290" s="511"/>
      <c r="B290" s="293"/>
      <c r="C290" s="511"/>
      <c r="D290" s="312"/>
      <c r="E290" s="223"/>
      <c r="F290" s="223"/>
      <c r="G290" s="223"/>
      <c r="H290" s="507" t="s">
        <v>361</v>
      </c>
      <c r="I290" s="145">
        <v>1000000</v>
      </c>
      <c r="J290" s="137" t="s">
        <v>78</v>
      </c>
      <c r="K290" s="183" t="s">
        <v>106</v>
      </c>
      <c r="L290" s="140">
        <v>1</v>
      </c>
      <c r="M290" s="183" t="s">
        <v>82</v>
      </c>
      <c r="N290" s="140" t="s">
        <v>81</v>
      </c>
      <c r="O290" s="136">
        <f t="shared" ref="O290" si="52">SUM(I290*L290)</f>
        <v>1000000</v>
      </c>
    </row>
    <row r="291" spans="1:19" ht="12.95" customHeight="1" x14ac:dyDescent="0.15">
      <c r="A291" s="511"/>
      <c r="B291" s="293"/>
      <c r="C291" s="511"/>
      <c r="D291" s="312"/>
      <c r="E291" s="223"/>
      <c r="F291" s="223"/>
      <c r="G291" s="223"/>
      <c r="H291" s="507" t="s">
        <v>339</v>
      </c>
      <c r="I291" s="145">
        <v>650000</v>
      </c>
      <c r="J291" s="137" t="s">
        <v>78</v>
      </c>
      <c r="K291" s="183" t="s">
        <v>106</v>
      </c>
      <c r="L291" s="140">
        <v>2</v>
      </c>
      <c r="M291" s="183" t="s">
        <v>82</v>
      </c>
      <c r="N291" s="140" t="s">
        <v>81</v>
      </c>
      <c r="O291" s="136">
        <f t="shared" ref="O291" si="53">SUM(I291*L291)</f>
        <v>1300000</v>
      </c>
    </row>
    <row r="292" spans="1:19" ht="12.95" customHeight="1" x14ac:dyDescent="0.15">
      <c r="A292" s="511"/>
      <c r="B292" s="293"/>
      <c r="C292" s="511"/>
      <c r="D292" s="312"/>
      <c r="E292" s="223"/>
      <c r="F292" s="223"/>
      <c r="G292" s="223">
        <f t="shared" si="44"/>
        <v>0</v>
      </c>
      <c r="H292" s="507" t="s">
        <v>397</v>
      </c>
      <c r="I292" s="145">
        <v>3000000</v>
      </c>
      <c r="J292" s="137" t="s">
        <v>78</v>
      </c>
      <c r="K292" s="183" t="s">
        <v>106</v>
      </c>
      <c r="L292" s="140">
        <v>1</v>
      </c>
      <c r="M292" s="183" t="s">
        <v>82</v>
      </c>
      <c r="N292" s="140" t="s">
        <v>81</v>
      </c>
      <c r="O292" s="136">
        <f t="shared" si="51"/>
        <v>3000000</v>
      </c>
      <c r="P292" s="576" t="s">
        <v>574</v>
      </c>
    </row>
    <row r="293" spans="1:19" s="430" customFormat="1" ht="12.95" customHeight="1" x14ac:dyDescent="0.15">
      <c r="A293" s="511"/>
      <c r="B293" s="293"/>
      <c r="C293" s="511"/>
      <c r="D293" s="312"/>
      <c r="E293" s="223"/>
      <c r="F293" s="223"/>
      <c r="G293" s="223"/>
      <c r="H293" s="507" t="s">
        <v>412</v>
      </c>
      <c r="I293" s="145">
        <v>13500500</v>
      </c>
      <c r="J293" s="137" t="s">
        <v>78</v>
      </c>
      <c r="K293" s="183" t="s">
        <v>106</v>
      </c>
      <c r="L293" s="140">
        <v>0</v>
      </c>
      <c r="M293" s="183" t="s">
        <v>82</v>
      </c>
      <c r="N293" s="140" t="s">
        <v>81</v>
      </c>
      <c r="O293" s="136">
        <f t="shared" ref="O293" si="54">SUM(I293*L293)</f>
        <v>0</v>
      </c>
      <c r="P293" s="576" t="s">
        <v>575</v>
      </c>
      <c r="Q293" s="312"/>
      <c r="R293" s="274"/>
      <c r="S293" s="274"/>
    </row>
    <row r="294" spans="1:19" s="430" customFormat="1" ht="12.95" customHeight="1" x14ac:dyDescent="0.15">
      <c r="A294" s="511"/>
      <c r="B294" s="293"/>
      <c r="C294" s="511"/>
      <c r="D294" s="312"/>
      <c r="E294" s="223"/>
      <c r="F294" s="223"/>
      <c r="G294" s="223"/>
      <c r="H294" s="507" t="s">
        <v>474</v>
      </c>
      <c r="I294" s="145">
        <v>0</v>
      </c>
      <c r="J294" s="137" t="s">
        <v>78</v>
      </c>
      <c r="K294" s="183" t="s">
        <v>106</v>
      </c>
      <c r="L294" s="140">
        <v>0</v>
      </c>
      <c r="M294" s="183" t="s">
        <v>82</v>
      </c>
      <c r="N294" s="140" t="s">
        <v>81</v>
      </c>
      <c r="O294" s="136">
        <f t="shared" ref="O294" si="55">SUM(I294*L294)</f>
        <v>0</v>
      </c>
      <c r="P294" s="576"/>
      <c r="Q294" s="312"/>
      <c r="R294" s="274"/>
      <c r="S294" s="274"/>
    </row>
    <row r="295" spans="1:19" s="430" customFormat="1" ht="12.95" customHeight="1" x14ac:dyDescent="0.15">
      <c r="A295" s="511"/>
      <c r="B295" s="293"/>
      <c r="C295" s="511"/>
      <c r="D295" s="312"/>
      <c r="E295" s="223"/>
      <c r="F295" s="223"/>
      <c r="G295" s="223">
        <f t="shared" si="44"/>
        <v>0</v>
      </c>
      <c r="H295" s="507" t="s">
        <v>398</v>
      </c>
      <c r="I295" s="145">
        <v>3000000</v>
      </c>
      <c r="J295" s="137" t="s">
        <v>78</v>
      </c>
      <c r="K295" s="183" t="s">
        <v>106</v>
      </c>
      <c r="L295" s="140">
        <v>6</v>
      </c>
      <c r="M295" s="183" t="s">
        <v>82</v>
      </c>
      <c r="N295" s="140" t="s">
        <v>81</v>
      </c>
      <c r="O295" s="136">
        <f t="shared" si="51"/>
        <v>18000000</v>
      </c>
      <c r="P295" s="576"/>
      <c r="Q295" s="312"/>
      <c r="R295" s="274"/>
      <c r="S295" s="274"/>
    </row>
    <row r="296" spans="1:19" s="340" customFormat="1" ht="14.1" customHeight="1" x14ac:dyDescent="0.15">
      <c r="A296" s="711" t="s">
        <v>12</v>
      </c>
      <c r="B296" s="715"/>
      <c r="C296" s="715"/>
      <c r="D296" s="716"/>
      <c r="E296" s="280">
        <v>2500060</v>
      </c>
      <c r="F296" s="280">
        <f t="shared" ref="F296" si="56">SUM(F297)</f>
        <v>2146048.09</v>
      </c>
      <c r="G296" s="280">
        <f t="shared" si="44"/>
        <v>-354011.91000000015</v>
      </c>
      <c r="H296" s="191"/>
      <c r="I296" s="192"/>
      <c r="J296" s="193"/>
      <c r="K296" s="194"/>
      <c r="L296" s="503"/>
      <c r="M296" s="194"/>
      <c r="N296" s="195"/>
      <c r="O296" s="196"/>
      <c r="P296" s="582"/>
      <c r="Q296" s="574"/>
    </row>
    <row r="297" spans="1:19" s="294" customFormat="1" ht="14.1" customHeight="1" x14ac:dyDescent="0.15">
      <c r="A297" s="293"/>
      <c r="B297" s="711" t="s">
        <v>18</v>
      </c>
      <c r="C297" s="715"/>
      <c r="D297" s="716"/>
      <c r="E297" s="280">
        <v>2500060</v>
      </c>
      <c r="F297" s="280">
        <f>SUM(F298,F302,F306,F349,F371,F382,F388,F441)</f>
        <v>2146048.09</v>
      </c>
      <c r="G297" s="280">
        <f t="shared" si="44"/>
        <v>-354011.91000000015</v>
      </c>
      <c r="H297" s="191"/>
      <c r="I297" s="192"/>
      <c r="J297" s="193"/>
      <c r="K297" s="194"/>
      <c r="L297" s="503"/>
      <c r="M297" s="194"/>
      <c r="N297" s="195"/>
      <c r="O297" s="196"/>
      <c r="P297" s="578"/>
      <c r="Q297" s="455"/>
    </row>
    <row r="298" spans="1:19" ht="14.1" customHeight="1" x14ac:dyDescent="0.15">
      <c r="A298" s="293"/>
      <c r="B298" s="341"/>
      <c r="C298" s="745" t="s">
        <v>19</v>
      </c>
      <c r="D298" s="746"/>
      <c r="E298" s="223">
        <v>285969</v>
      </c>
      <c r="F298" s="223">
        <f>O298/1000</f>
        <v>216360</v>
      </c>
      <c r="G298" s="162">
        <f t="shared" si="44"/>
        <v>-69609</v>
      </c>
      <c r="H298" s="508" t="s">
        <v>166</v>
      </c>
      <c r="I298" s="145"/>
      <c r="J298" s="159"/>
      <c r="K298" s="160"/>
      <c r="L298" s="504"/>
      <c r="M298" s="160"/>
      <c r="N298" s="504"/>
      <c r="O298" s="141">
        <f>SUM(O299:O301)</f>
        <v>216360000</v>
      </c>
    </row>
    <row r="299" spans="1:19" ht="14.1" customHeight="1" x14ac:dyDescent="0.15">
      <c r="A299" s="293"/>
      <c r="B299" s="341"/>
      <c r="C299" s="501"/>
      <c r="D299" s="512"/>
      <c r="E299" s="223"/>
      <c r="F299" s="223"/>
      <c r="G299" s="223">
        <f t="shared" si="44"/>
        <v>0</v>
      </c>
      <c r="H299" s="508" t="s">
        <v>221</v>
      </c>
      <c r="I299" s="145">
        <f>5250000</f>
        <v>5250000</v>
      </c>
      <c r="J299" s="159" t="s">
        <v>78</v>
      </c>
      <c r="K299" s="160" t="s">
        <v>106</v>
      </c>
      <c r="L299" s="504">
        <v>12</v>
      </c>
      <c r="M299" s="160" t="s">
        <v>80</v>
      </c>
      <c r="N299" s="504" t="s">
        <v>81</v>
      </c>
      <c r="O299" s="136">
        <f>SUM(I299*L299)</f>
        <v>63000000</v>
      </c>
    </row>
    <row r="300" spans="1:19" ht="14.1" customHeight="1" x14ac:dyDescent="0.15">
      <c r="A300" s="293"/>
      <c r="B300" s="341"/>
      <c r="C300" s="501"/>
      <c r="D300" s="512"/>
      <c r="E300" s="223"/>
      <c r="F300" s="223"/>
      <c r="G300" s="223"/>
      <c r="H300" s="508" t="s">
        <v>263</v>
      </c>
      <c r="I300" s="145">
        <v>1200000</v>
      </c>
      <c r="J300" s="159" t="s">
        <v>241</v>
      </c>
      <c r="K300" s="160" t="s">
        <v>106</v>
      </c>
      <c r="L300" s="504">
        <v>12</v>
      </c>
      <c r="M300" s="160" t="s">
        <v>244</v>
      </c>
      <c r="N300" s="504" t="s">
        <v>240</v>
      </c>
      <c r="O300" s="136">
        <f>SUM(I300*L300)</f>
        <v>14400000</v>
      </c>
    </row>
    <row r="301" spans="1:19" ht="14.1" customHeight="1" x14ac:dyDescent="0.15">
      <c r="A301" s="293"/>
      <c r="B301" s="341"/>
      <c r="C301" s="509"/>
      <c r="D301" s="498"/>
      <c r="E301" s="322"/>
      <c r="F301" s="322"/>
      <c r="G301" s="322">
        <f t="shared" si="44"/>
        <v>0</v>
      </c>
      <c r="H301" s="146" t="s">
        <v>262</v>
      </c>
      <c r="I301" s="147">
        <v>11580000</v>
      </c>
      <c r="J301" s="179" t="s">
        <v>78</v>
      </c>
      <c r="K301" s="180" t="s">
        <v>106</v>
      </c>
      <c r="L301" s="513">
        <v>12</v>
      </c>
      <c r="M301" s="180" t="s">
        <v>80</v>
      </c>
      <c r="N301" s="513" t="s">
        <v>81</v>
      </c>
      <c r="O301" s="142">
        <f>SUM(I301*L301)</f>
        <v>138960000</v>
      </c>
      <c r="P301" s="576" t="s">
        <v>576</v>
      </c>
    </row>
    <row r="302" spans="1:19" ht="14.1" customHeight="1" x14ac:dyDescent="0.15">
      <c r="A302" s="293"/>
      <c r="B302" s="293"/>
      <c r="C302" s="709" t="s">
        <v>20</v>
      </c>
      <c r="D302" s="710"/>
      <c r="E302" s="162">
        <v>114000</v>
      </c>
      <c r="F302" s="162">
        <f>O302/1000</f>
        <v>114000</v>
      </c>
      <c r="G302" s="162">
        <f t="shared" si="44"/>
        <v>0</v>
      </c>
      <c r="H302" s="184" t="s">
        <v>167</v>
      </c>
      <c r="I302" s="185"/>
      <c r="J302" s="186"/>
      <c r="K302" s="187"/>
      <c r="L302" s="188"/>
      <c r="M302" s="187"/>
      <c r="N302" s="188"/>
      <c r="O302" s="209">
        <f>SUM(O303:O305)</f>
        <v>114000000</v>
      </c>
    </row>
    <row r="303" spans="1:19" ht="14.1" customHeight="1" x14ac:dyDescent="0.15">
      <c r="A303" s="293"/>
      <c r="B303" s="293"/>
      <c r="C303" s="511"/>
      <c r="D303" s="512"/>
      <c r="E303" s="223"/>
      <c r="F303" s="223"/>
      <c r="G303" s="223">
        <f t="shared" si="44"/>
        <v>0</v>
      </c>
      <c r="H303" s="508" t="s">
        <v>204</v>
      </c>
      <c r="I303" s="145">
        <v>2500000</v>
      </c>
      <c r="J303" s="159" t="s">
        <v>78</v>
      </c>
      <c r="K303" s="160" t="s">
        <v>106</v>
      </c>
      <c r="L303" s="504">
        <v>12</v>
      </c>
      <c r="M303" s="160" t="s">
        <v>80</v>
      </c>
      <c r="N303" s="504" t="s">
        <v>81</v>
      </c>
      <c r="O303" s="136">
        <f>SUM(I303*L303)</f>
        <v>30000000</v>
      </c>
    </row>
    <row r="304" spans="1:19" ht="14.1" customHeight="1" x14ac:dyDescent="0.15">
      <c r="A304" s="293"/>
      <c r="B304" s="293"/>
      <c r="C304" s="511"/>
      <c r="D304" s="512"/>
      <c r="E304" s="223"/>
      <c r="F304" s="223"/>
      <c r="G304" s="223"/>
      <c r="H304" s="507" t="s">
        <v>205</v>
      </c>
      <c r="I304" s="198">
        <v>5000000</v>
      </c>
      <c r="J304" s="199" t="s">
        <v>78</v>
      </c>
      <c r="K304" s="200" t="s">
        <v>106</v>
      </c>
      <c r="L304" s="201">
        <v>12</v>
      </c>
      <c r="M304" s="200" t="s">
        <v>80</v>
      </c>
      <c r="N304" s="201" t="s">
        <v>81</v>
      </c>
      <c r="O304" s="136">
        <f>SUM(I304*L304)</f>
        <v>60000000</v>
      </c>
    </row>
    <row r="305" spans="1:19" s="377" customFormat="1" ht="14.1" customHeight="1" x14ac:dyDescent="0.15">
      <c r="A305" s="293"/>
      <c r="B305" s="293"/>
      <c r="C305" s="511"/>
      <c r="D305" s="512"/>
      <c r="E305" s="223"/>
      <c r="F305" s="223"/>
      <c r="G305" s="223"/>
      <c r="H305" s="507" t="s">
        <v>477</v>
      </c>
      <c r="I305" s="198">
        <v>2000000</v>
      </c>
      <c r="J305" s="199" t="s">
        <v>78</v>
      </c>
      <c r="K305" s="200" t="s">
        <v>106</v>
      </c>
      <c r="L305" s="201">
        <v>12</v>
      </c>
      <c r="M305" s="200" t="s">
        <v>80</v>
      </c>
      <c r="N305" s="201" t="s">
        <v>81</v>
      </c>
      <c r="O305" s="136">
        <f>SUM(I305*L305)</f>
        <v>24000000</v>
      </c>
      <c r="P305" s="576"/>
      <c r="Q305" s="312"/>
      <c r="R305" s="274"/>
      <c r="S305" s="274"/>
    </row>
    <row r="306" spans="1:19" ht="13.7" customHeight="1" x14ac:dyDescent="0.15">
      <c r="A306" s="293"/>
      <c r="B306" s="293"/>
      <c r="C306" s="709" t="s">
        <v>21</v>
      </c>
      <c r="D306" s="710"/>
      <c r="E306" s="162">
        <v>542140</v>
      </c>
      <c r="F306" s="162">
        <f>O306/1000</f>
        <v>397484.24</v>
      </c>
      <c r="G306" s="162">
        <f t="shared" si="44"/>
        <v>-144655.76</v>
      </c>
      <c r="H306" s="515" t="s">
        <v>168</v>
      </c>
      <c r="I306" s="205"/>
      <c r="J306" s="206"/>
      <c r="K306" s="207"/>
      <c r="L306" s="208"/>
      <c r="M306" s="207"/>
      <c r="N306" s="208"/>
      <c r="O306" s="209">
        <f>SUM(O307,O308,O341,O342,O348)</f>
        <v>397484240</v>
      </c>
    </row>
    <row r="307" spans="1:19" s="377" customFormat="1" ht="13.7" customHeight="1" x14ac:dyDescent="0.15">
      <c r="A307" s="293"/>
      <c r="B307" s="293"/>
      <c r="C307" s="511"/>
      <c r="D307" s="345"/>
      <c r="E307" s="223"/>
      <c r="F307" s="223"/>
      <c r="G307" s="223">
        <f t="shared" si="44"/>
        <v>0</v>
      </c>
      <c r="H307" s="505" t="s">
        <v>169</v>
      </c>
      <c r="I307" s="145">
        <v>3500000</v>
      </c>
      <c r="J307" s="159" t="s">
        <v>78</v>
      </c>
      <c r="K307" s="160" t="s">
        <v>106</v>
      </c>
      <c r="L307" s="504">
        <v>12</v>
      </c>
      <c r="M307" s="160" t="s">
        <v>80</v>
      </c>
      <c r="N307" s="504" t="s">
        <v>81</v>
      </c>
      <c r="O307" s="141">
        <f>SUM(I307*L307)</f>
        <v>42000000</v>
      </c>
      <c r="P307" s="576"/>
      <c r="Q307" s="312"/>
      <c r="R307" s="274"/>
      <c r="S307" s="274"/>
    </row>
    <row r="308" spans="1:19" ht="13.7" customHeight="1" x14ac:dyDescent="0.15">
      <c r="A308" s="293"/>
      <c r="B308" s="293"/>
      <c r="C308" s="511"/>
      <c r="D308" s="345"/>
      <c r="E308" s="223"/>
      <c r="F308" s="223"/>
      <c r="G308" s="223">
        <f t="shared" si="44"/>
        <v>0</v>
      </c>
      <c r="H308" s="505" t="s">
        <v>223</v>
      </c>
      <c r="I308" s="211"/>
      <c r="J308" s="212"/>
      <c r="K308" s="213"/>
      <c r="L308" s="214"/>
      <c r="M308" s="213"/>
      <c r="N308" s="214"/>
      <c r="O308" s="141">
        <f>SUM(O309:O340)</f>
        <v>272064000</v>
      </c>
    </row>
    <row r="309" spans="1:19" ht="13.7" customHeight="1" x14ac:dyDescent="0.15">
      <c r="A309" s="320"/>
      <c r="B309" s="320"/>
      <c r="C309" s="497"/>
      <c r="D309" s="498"/>
      <c r="E309" s="322"/>
      <c r="F309" s="322"/>
      <c r="G309" s="322">
        <f t="shared" si="44"/>
        <v>0</v>
      </c>
      <c r="H309" s="146" t="s">
        <v>170</v>
      </c>
      <c r="I309" s="147">
        <v>385000</v>
      </c>
      <c r="J309" s="179" t="s">
        <v>78</v>
      </c>
      <c r="K309" s="180" t="s">
        <v>106</v>
      </c>
      <c r="L309" s="513">
        <v>12</v>
      </c>
      <c r="M309" s="499" t="s">
        <v>80</v>
      </c>
      <c r="N309" s="513" t="s">
        <v>81</v>
      </c>
      <c r="O309" s="142">
        <f t="shared" ref="O309:O312" si="57">SUM(I309*L309)</f>
        <v>4620000</v>
      </c>
    </row>
    <row r="310" spans="1:19" ht="13.7" customHeight="1" x14ac:dyDescent="0.15">
      <c r="A310" s="293"/>
      <c r="B310" s="293"/>
      <c r="C310" s="511"/>
      <c r="D310" s="512"/>
      <c r="E310" s="223"/>
      <c r="F310" s="223"/>
      <c r="G310" s="223">
        <f t="shared" si="44"/>
        <v>0</v>
      </c>
      <c r="H310" s="508" t="s">
        <v>568</v>
      </c>
      <c r="I310" s="145">
        <v>200000</v>
      </c>
      <c r="J310" s="159" t="s">
        <v>78</v>
      </c>
      <c r="K310" s="160" t="s">
        <v>106</v>
      </c>
      <c r="L310" s="504">
        <v>5</v>
      </c>
      <c r="M310" s="161" t="s">
        <v>80</v>
      </c>
      <c r="N310" s="504" t="s">
        <v>81</v>
      </c>
      <c r="O310" s="136">
        <f t="shared" si="57"/>
        <v>1000000</v>
      </c>
    </row>
    <row r="311" spans="1:19" ht="13.7" customHeight="1" x14ac:dyDescent="0.15">
      <c r="A311" s="293"/>
      <c r="B311" s="293"/>
      <c r="C311" s="511"/>
      <c r="D311" s="512"/>
      <c r="E311" s="223"/>
      <c r="F311" s="223"/>
      <c r="G311" s="223">
        <f t="shared" si="44"/>
        <v>0</v>
      </c>
      <c r="H311" s="508" t="s">
        <v>178</v>
      </c>
      <c r="I311" s="145">
        <v>20000</v>
      </c>
      <c r="J311" s="159" t="s">
        <v>78</v>
      </c>
      <c r="K311" s="160" t="s">
        <v>106</v>
      </c>
      <c r="L311" s="504">
        <v>4</v>
      </c>
      <c r="M311" s="161" t="s">
        <v>82</v>
      </c>
      <c r="N311" s="504" t="s">
        <v>81</v>
      </c>
      <c r="O311" s="136">
        <f t="shared" si="57"/>
        <v>80000</v>
      </c>
    </row>
    <row r="312" spans="1:19" ht="13.7" customHeight="1" x14ac:dyDescent="0.15">
      <c r="A312" s="293"/>
      <c r="B312" s="293"/>
      <c r="C312" s="511"/>
      <c r="D312" s="512"/>
      <c r="E312" s="223"/>
      <c r="F312" s="223"/>
      <c r="G312" s="223">
        <f t="shared" si="44"/>
        <v>0</v>
      </c>
      <c r="H312" s="508" t="s">
        <v>179</v>
      </c>
      <c r="I312" s="145">
        <v>143000</v>
      </c>
      <c r="J312" s="159" t="s">
        <v>78</v>
      </c>
      <c r="K312" s="160" t="s">
        <v>106</v>
      </c>
      <c r="L312" s="504">
        <v>12</v>
      </c>
      <c r="M312" s="161" t="s">
        <v>80</v>
      </c>
      <c r="N312" s="504" t="s">
        <v>81</v>
      </c>
      <c r="O312" s="136">
        <f t="shared" si="57"/>
        <v>1716000</v>
      </c>
    </row>
    <row r="313" spans="1:19" ht="13.7" customHeight="1" x14ac:dyDescent="0.15">
      <c r="A313" s="293"/>
      <c r="B313" s="293"/>
      <c r="C313" s="511"/>
      <c r="D313" s="512"/>
      <c r="E313" s="223"/>
      <c r="F313" s="223"/>
      <c r="G313" s="223">
        <f t="shared" si="44"/>
        <v>0</v>
      </c>
      <c r="H313" s="508" t="s">
        <v>171</v>
      </c>
      <c r="I313" s="145">
        <v>900000</v>
      </c>
      <c r="J313" s="159" t="s">
        <v>78</v>
      </c>
      <c r="K313" s="160" t="s">
        <v>106</v>
      </c>
      <c r="L313" s="504">
        <v>4</v>
      </c>
      <c r="M313" s="161" t="s">
        <v>82</v>
      </c>
      <c r="N313" s="504" t="s">
        <v>81</v>
      </c>
      <c r="O313" s="136">
        <f t="shared" ref="O313:O322" si="58">SUM(I313*L313)</f>
        <v>3600000</v>
      </c>
    </row>
    <row r="314" spans="1:19" ht="13.7" customHeight="1" x14ac:dyDescent="0.15">
      <c r="A314" s="293"/>
      <c r="B314" s="293"/>
      <c r="C314" s="511"/>
      <c r="D314" s="512"/>
      <c r="E314" s="223"/>
      <c r="F314" s="223"/>
      <c r="G314" s="223">
        <f t="shared" si="44"/>
        <v>0</v>
      </c>
      <c r="H314" s="508" t="s">
        <v>181</v>
      </c>
      <c r="I314" s="145">
        <v>1000000</v>
      </c>
      <c r="J314" s="159" t="s">
        <v>78</v>
      </c>
      <c r="K314" s="160" t="s">
        <v>104</v>
      </c>
      <c r="L314" s="504">
        <v>1</v>
      </c>
      <c r="M314" s="161" t="s">
        <v>82</v>
      </c>
      <c r="N314" s="504" t="s">
        <v>81</v>
      </c>
      <c r="O314" s="136">
        <f t="shared" si="58"/>
        <v>1000000</v>
      </c>
    </row>
    <row r="315" spans="1:19" ht="13.7" customHeight="1" x14ac:dyDescent="0.15">
      <c r="A315" s="293"/>
      <c r="B315" s="293"/>
      <c r="C315" s="511"/>
      <c r="D315" s="512"/>
      <c r="E315" s="223"/>
      <c r="F315" s="223"/>
      <c r="G315" s="223">
        <f t="shared" si="44"/>
        <v>0</v>
      </c>
      <c r="H315" s="508" t="s">
        <v>173</v>
      </c>
      <c r="I315" s="145">
        <v>19000</v>
      </c>
      <c r="J315" s="159" t="s">
        <v>78</v>
      </c>
      <c r="K315" s="160" t="s">
        <v>106</v>
      </c>
      <c r="L315" s="504">
        <v>12</v>
      </c>
      <c r="M315" s="161" t="s">
        <v>80</v>
      </c>
      <c r="N315" s="504" t="s">
        <v>81</v>
      </c>
      <c r="O315" s="136">
        <f t="shared" si="58"/>
        <v>228000</v>
      </c>
    </row>
    <row r="316" spans="1:19" ht="13.7" customHeight="1" x14ac:dyDescent="0.15">
      <c r="A316" s="293"/>
      <c r="B316" s="293"/>
      <c r="C316" s="511"/>
      <c r="D316" s="512"/>
      <c r="E316" s="223"/>
      <c r="F316" s="223"/>
      <c r="G316" s="223">
        <f t="shared" si="44"/>
        <v>0</v>
      </c>
      <c r="H316" s="508" t="s">
        <v>174</v>
      </c>
      <c r="I316" s="145">
        <v>48000</v>
      </c>
      <c r="J316" s="159" t="s">
        <v>78</v>
      </c>
      <c r="K316" s="160" t="s">
        <v>106</v>
      </c>
      <c r="L316" s="504">
        <v>6</v>
      </c>
      <c r="M316" s="161" t="s">
        <v>82</v>
      </c>
      <c r="N316" s="504" t="s">
        <v>81</v>
      </c>
      <c r="O316" s="136">
        <f t="shared" si="58"/>
        <v>288000</v>
      </c>
    </row>
    <row r="317" spans="1:19" s="377" customFormat="1" ht="13.7" customHeight="1" x14ac:dyDescent="0.15">
      <c r="A317" s="293"/>
      <c r="B317" s="293"/>
      <c r="C317" s="511"/>
      <c r="D317" s="512"/>
      <c r="E317" s="223"/>
      <c r="F317" s="223"/>
      <c r="G317" s="223"/>
      <c r="H317" s="508" t="s">
        <v>411</v>
      </c>
      <c r="I317" s="145">
        <v>770000</v>
      </c>
      <c r="J317" s="159" t="s">
        <v>78</v>
      </c>
      <c r="K317" s="160" t="s">
        <v>106</v>
      </c>
      <c r="L317" s="504">
        <v>12</v>
      </c>
      <c r="M317" s="161" t="s">
        <v>82</v>
      </c>
      <c r="N317" s="504" t="s">
        <v>81</v>
      </c>
      <c r="O317" s="136">
        <f t="shared" ref="O317" si="59">SUM(I317*L317)</f>
        <v>9240000</v>
      </c>
      <c r="P317" s="576"/>
      <c r="Q317" s="312"/>
      <c r="R317" s="274"/>
      <c r="S317" s="274"/>
    </row>
    <row r="318" spans="1:19" ht="13.7" customHeight="1" x14ac:dyDescent="0.15">
      <c r="A318" s="293"/>
      <c r="B318" s="293"/>
      <c r="C318" s="511"/>
      <c r="D318" s="512"/>
      <c r="E318" s="223"/>
      <c r="F318" s="223"/>
      <c r="G318" s="223">
        <f t="shared" si="44"/>
        <v>0</v>
      </c>
      <c r="H318" s="508" t="s">
        <v>341</v>
      </c>
      <c r="I318" s="145">
        <v>410000</v>
      </c>
      <c r="J318" s="159" t="s">
        <v>78</v>
      </c>
      <c r="K318" s="160" t="s">
        <v>106</v>
      </c>
      <c r="L318" s="504">
        <v>12</v>
      </c>
      <c r="M318" s="161" t="s">
        <v>80</v>
      </c>
      <c r="N318" s="504" t="s">
        <v>81</v>
      </c>
      <c r="O318" s="136">
        <f t="shared" si="58"/>
        <v>4920000</v>
      </c>
    </row>
    <row r="319" spans="1:19" s="430" customFormat="1" ht="13.7" customHeight="1" x14ac:dyDescent="0.15">
      <c r="A319" s="293"/>
      <c r="B319" s="293"/>
      <c r="C319" s="511"/>
      <c r="D319" s="512"/>
      <c r="E319" s="223"/>
      <c r="F319" s="223"/>
      <c r="G319" s="223">
        <f t="shared" si="44"/>
        <v>0</v>
      </c>
      <c r="H319" s="508" t="s">
        <v>208</v>
      </c>
      <c r="I319" s="145">
        <v>6000000</v>
      </c>
      <c r="J319" s="159" t="s">
        <v>78</v>
      </c>
      <c r="K319" s="160" t="s">
        <v>106</v>
      </c>
      <c r="L319" s="504">
        <v>12</v>
      </c>
      <c r="M319" s="161" t="s">
        <v>80</v>
      </c>
      <c r="N319" s="504" t="s">
        <v>81</v>
      </c>
      <c r="O319" s="136">
        <f t="shared" si="58"/>
        <v>72000000</v>
      </c>
      <c r="P319" s="576"/>
      <c r="Q319" s="312">
        <f>290*1.1</f>
        <v>319</v>
      </c>
      <c r="R319" s="274"/>
      <c r="S319" s="274"/>
    </row>
    <row r="320" spans="1:19" ht="13.7" customHeight="1" x14ac:dyDescent="0.15">
      <c r="A320" s="293"/>
      <c r="B320" s="293"/>
      <c r="C320" s="511"/>
      <c r="D320" s="512"/>
      <c r="E320" s="223"/>
      <c r="F320" s="223"/>
      <c r="G320" s="223">
        <f t="shared" si="44"/>
        <v>0</v>
      </c>
      <c r="H320" s="508" t="s">
        <v>182</v>
      </c>
      <c r="I320" s="145">
        <v>450000</v>
      </c>
      <c r="J320" s="159" t="s">
        <v>78</v>
      </c>
      <c r="K320" s="160" t="s">
        <v>106</v>
      </c>
      <c r="L320" s="504">
        <v>12</v>
      </c>
      <c r="M320" s="161" t="s">
        <v>82</v>
      </c>
      <c r="N320" s="504" t="s">
        <v>81</v>
      </c>
      <c r="O320" s="136">
        <f t="shared" si="58"/>
        <v>5400000</v>
      </c>
      <c r="Q320" s="312">
        <f>Q319*2</f>
        <v>638</v>
      </c>
    </row>
    <row r="321" spans="1:19" ht="13.7" customHeight="1" x14ac:dyDescent="0.15">
      <c r="A321" s="293"/>
      <c r="B321" s="293"/>
      <c r="C321" s="511"/>
      <c r="D321" s="512"/>
      <c r="E321" s="223"/>
      <c r="F321" s="223"/>
      <c r="G321" s="223">
        <f t="shared" si="44"/>
        <v>0</v>
      </c>
      <c r="H321" s="508" t="s">
        <v>175</v>
      </c>
      <c r="I321" s="145">
        <v>500000</v>
      </c>
      <c r="J321" s="159" t="s">
        <v>78</v>
      </c>
      <c r="K321" s="160" t="s">
        <v>106</v>
      </c>
      <c r="L321" s="504">
        <v>1</v>
      </c>
      <c r="M321" s="161" t="s">
        <v>82</v>
      </c>
      <c r="N321" s="504" t="s">
        <v>81</v>
      </c>
      <c r="O321" s="136">
        <f t="shared" si="58"/>
        <v>500000</v>
      </c>
    </row>
    <row r="322" spans="1:19" ht="13.7" customHeight="1" x14ac:dyDescent="0.15">
      <c r="A322" s="293"/>
      <c r="B322" s="293"/>
      <c r="C322" s="511"/>
      <c r="D322" s="512"/>
      <c r="E322" s="223"/>
      <c r="F322" s="223"/>
      <c r="G322" s="223">
        <f t="shared" si="44"/>
        <v>0</v>
      </c>
      <c r="H322" s="507" t="s">
        <v>180</v>
      </c>
      <c r="I322" s="145">
        <v>182000</v>
      </c>
      <c r="J322" s="137" t="s">
        <v>78</v>
      </c>
      <c r="K322" s="160" t="s">
        <v>106</v>
      </c>
      <c r="L322" s="140">
        <v>12</v>
      </c>
      <c r="M322" s="183" t="s">
        <v>80</v>
      </c>
      <c r="N322" s="140" t="s">
        <v>81</v>
      </c>
      <c r="O322" s="136">
        <f t="shared" si="58"/>
        <v>2184000</v>
      </c>
    </row>
    <row r="323" spans="1:19" ht="13.7" customHeight="1" x14ac:dyDescent="0.15">
      <c r="A323" s="293"/>
      <c r="B323" s="293"/>
      <c r="C323" s="511"/>
      <c r="D323" s="512"/>
      <c r="E323" s="223"/>
      <c r="F323" s="223"/>
      <c r="G323" s="223">
        <f t="shared" si="44"/>
        <v>0</v>
      </c>
      <c r="H323" s="508" t="s">
        <v>176</v>
      </c>
      <c r="I323" s="145">
        <v>2200000</v>
      </c>
      <c r="J323" s="159" t="s">
        <v>78</v>
      </c>
      <c r="K323" s="160" t="s">
        <v>106</v>
      </c>
      <c r="L323" s="504">
        <v>12</v>
      </c>
      <c r="M323" s="161" t="s">
        <v>80</v>
      </c>
      <c r="N323" s="504" t="s">
        <v>81</v>
      </c>
      <c r="O323" s="136">
        <f t="shared" ref="O323:O341" si="60">SUM(I323*L323)</f>
        <v>26400000</v>
      </c>
    </row>
    <row r="324" spans="1:19" ht="13.7" customHeight="1" x14ac:dyDescent="0.15">
      <c r="A324" s="293"/>
      <c r="B324" s="293"/>
      <c r="C324" s="511"/>
      <c r="D324" s="512"/>
      <c r="E324" s="223"/>
      <c r="F324" s="223"/>
      <c r="G324" s="223">
        <f t="shared" si="44"/>
        <v>0</v>
      </c>
      <c r="H324" s="508" t="s">
        <v>206</v>
      </c>
      <c r="I324" s="145">
        <v>6350000</v>
      </c>
      <c r="J324" s="159" t="s">
        <v>78</v>
      </c>
      <c r="K324" s="160" t="s">
        <v>106</v>
      </c>
      <c r="L324" s="504">
        <v>12</v>
      </c>
      <c r="M324" s="161" t="s">
        <v>80</v>
      </c>
      <c r="N324" s="504" t="s">
        <v>81</v>
      </c>
      <c r="O324" s="136">
        <f t="shared" si="60"/>
        <v>76200000</v>
      </c>
      <c r="Q324" s="312" t="s">
        <v>342</v>
      </c>
    </row>
    <row r="325" spans="1:19" ht="13.7" customHeight="1" x14ac:dyDescent="0.15">
      <c r="A325" s="293"/>
      <c r="B325" s="293"/>
      <c r="C325" s="511"/>
      <c r="D325" s="512"/>
      <c r="E325" s="223"/>
      <c r="F325" s="223"/>
      <c r="G325" s="223">
        <f t="shared" si="44"/>
        <v>0</v>
      </c>
      <c r="H325" s="508" t="s">
        <v>222</v>
      </c>
      <c r="I325" s="145">
        <v>200000</v>
      </c>
      <c r="J325" s="159" t="s">
        <v>78</v>
      </c>
      <c r="K325" s="160" t="s">
        <v>106</v>
      </c>
      <c r="L325" s="504">
        <v>12</v>
      </c>
      <c r="M325" s="161" t="s">
        <v>80</v>
      </c>
      <c r="N325" s="504" t="s">
        <v>81</v>
      </c>
      <c r="O325" s="136">
        <f t="shared" si="60"/>
        <v>2400000</v>
      </c>
    </row>
    <row r="326" spans="1:19" ht="13.7" customHeight="1" x14ac:dyDescent="0.15">
      <c r="A326" s="293"/>
      <c r="B326" s="293"/>
      <c r="C326" s="511"/>
      <c r="D326" s="512"/>
      <c r="E326" s="223"/>
      <c r="F326" s="223"/>
      <c r="G326" s="223">
        <f t="shared" si="44"/>
        <v>0</v>
      </c>
      <c r="H326" s="152" t="s">
        <v>177</v>
      </c>
      <c r="I326" s="153">
        <v>0</v>
      </c>
      <c r="J326" s="154" t="s">
        <v>78</v>
      </c>
      <c r="K326" s="155" t="s">
        <v>106</v>
      </c>
      <c r="L326" s="156">
        <v>0</v>
      </c>
      <c r="M326" s="157" t="s">
        <v>82</v>
      </c>
      <c r="N326" s="156" t="s">
        <v>81</v>
      </c>
      <c r="O326" s="158">
        <f t="shared" si="60"/>
        <v>0</v>
      </c>
    </row>
    <row r="327" spans="1:19" ht="13.7" customHeight="1" x14ac:dyDescent="0.15">
      <c r="A327" s="293"/>
      <c r="B327" s="293"/>
      <c r="C327" s="511"/>
      <c r="D327" s="512"/>
      <c r="E327" s="223"/>
      <c r="F327" s="223"/>
      <c r="G327" s="223">
        <f t="shared" si="44"/>
        <v>0</v>
      </c>
      <c r="H327" s="508" t="s">
        <v>458</v>
      </c>
      <c r="I327" s="145">
        <v>35000</v>
      </c>
      <c r="J327" s="159" t="s">
        <v>78</v>
      </c>
      <c r="K327" s="160" t="s">
        <v>106</v>
      </c>
      <c r="L327" s="504">
        <v>12</v>
      </c>
      <c r="M327" s="161" t="s">
        <v>80</v>
      </c>
      <c r="N327" s="504" t="s">
        <v>81</v>
      </c>
      <c r="O327" s="136">
        <f t="shared" si="60"/>
        <v>420000</v>
      </c>
    </row>
    <row r="328" spans="1:19" ht="13.7" customHeight="1" x14ac:dyDescent="0.15">
      <c r="A328" s="293"/>
      <c r="B328" s="293"/>
      <c r="C328" s="511"/>
      <c r="D328" s="512"/>
      <c r="E328" s="223"/>
      <c r="F328" s="223"/>
      <c r="G328" s="223"/>
      <c r="H328" s="508" t="s">
        <v>459</v>
      </c>
      <c r="I328" s="145">
        <v>140</v>
      </c>
      <c r="J328" s="159" t="s">
        <v>78</v>
      </c>
      <c r="K328" s="160" t="s">
        <v>106</v>
      </c>
      <c r="L328" s="504">
        <v>200</v>
      </c>
      <c r="M328" s="161" t="s">
        <v>460</v>
      </c>
      <c r="N328" s="504"/>
      <c r="O328" s="136">
        <f t="shared" si="60"/>
        <v>28000</v>
      </c>
    </row>
    <row r="329" spans="1:19" ht="13.7" customHeight="1" x14ac:dyDescent="0.15">
      <c r="A329" s="293"/>
      <c r="B329" s="293"/>
      <c r="C329" s="511"/>
      <c r="D329" s="512"/>
      <c r="E329" s="223"/>
      <c r="F329" s="223"/>
      <c r="G329" s="223">
        <f t="shared" si="44"/>
        <v>0</v>
      </c>
      <c r="H329" s="508" t="s">
        <v>207</v>
      </c>
      <c r="I329" s="145">
        <v>121000</v>
      </c>
      <c r="J329" s="159" t="s">
        <v>78</v>
      </c>
      <c r="K329" s="160" t="s">
        <v>106</v>
      </c>
      <c r="L329" s="504">
        <v>12</v>
      </c>
      <c r="M329" s="161" t="s">
        <v>80</v>
      </c>
      <c r="N329" s="504" t="s">
        <v>81</v>
      </c>
      <c r="O329" s="136">
        <f t="shared" si="60"/>
        <v>1452000</v>
      </c>
    </row>
    <row r="330" spans="1:19" ht="13.7" customHeight="1" x14ac:dyDescent="0.15">
      <c r="A330" s="293"/>
      <c r="B330" s="293"/>
      <c r="C330" s="511"/>
      <c r="D330" s="512"/>
      <c r="E330" s="223"/>
      <c r="F330" s="223"/>
      <c r="G330" s="223">
        <f t="shared" si="44"/>
        <v>0</v>
      </c>
      <c r="H330" s="508" t="s">
        <v>209</v>
      </c>
      <c r="I330" s="145">
        <v>196000</v>
      </c>
      <c r="J330" s="159" t="s">
        <v>78</v>
      </c>
      <c r="K330" s="160" t="s">
        <v>106</v>
      </c>
      <c r="L330" s="504">
        <v>4</v>
      </c>
      <c r="M330" s="161" t="s">
        <v>82</v>
      </c>
      <c r="N330" s="504" t="s">
        <v>81</v>
      </c>
      <c r="O330" s="136">
        <f t="shared" si="60"/>
        <v>784000</v>
      </c>
    </row>
    <row r="331" spans="1:19" ht="13.7" customHeight="1" x14ac:dyDescent="0.15">
      <c r="A331" s="293"/>
      <c r="B331" s="293"/>
      <c r="C331" s="511"/>
      <c r="D331" s="512"/>
      <c r="E331" s="223"/>
      <c r="F331" s="223"/>
      <c r="G331" s="223">
        <f t="shared" si="44"/>
        <v>0</v>
      </c>
      <c r="H331" s="508" t="s">
        <v>245</v>
      </c>
      <c r="I331" s="145">
        <v>200000</v>
      </c>
      <c r="J331" s="159" t="s">
        <v>78</v>
      </c>
      <c r="K331" s="160" t="s">
        <v>106</v>
      </c>
      <c r="L331" s="504">
        <v>12</v>
      </c>
      <c r="M331" s="161" t="s">
        <v>82</v>
      </c>
      <c r="N331" s="504" t="s">
        <v>81</v>
      </c>
      <c r="O331" s="136">
        <f t="shared" si="60"/>
        <v>2400000</v>
      </c>
    </row>
    <row r="332" spans="1:19" ht="13.7" customHeight="1" x14ac:dyDescent="0.15">
      <c r="A332" s="293"/>
      <c r="B332" s="293"/>
      <c r="C332" s="511"/>
      <c r="D332" s="512"/>
      <c r="E332" s="223"/>
      <c r="F332" s="223"/>
      <c r="G332" s="223">
        <f t="shared" ref="G332:G354" si="61">F332-E332</f>
        <v>0</v>
      </c>
      <c r="H332" s="508" t="s">
        <v>210</v>
      </c>
      <c r="I332" s="145">
        <v>2500000</v>
      </c>
      <c r="J332" s="159" t="s">
        <v>78</v>
      </c>
      <c r="K332" s="160" t="s">
        <v>106</v>
      </c>
      <c r="L332" s="504">
        <v>2</v>
      </c>
      <c r="M332" s="161" t="s">
        <v>82</v>
      </c>
      <c r="N332" s="504" t="s">
        <v>81</v>
      </c>
      <c r="O332" s="136">
        <f t="shared" si="60"/>
        <v>5000000</v>
      </c>
    </row>
    <row r="333" spans="1:19" ht="13.7" customHeight="1" x14ac:dyDescent="0.15">
      <c r="A333" s="293"/>
      <c r="B333" s="293"/>
      <c r="C333" s="511"/>
      <c r="D333" s="512"/>
      <c r="E333" s="223"/>
      <c r="F333" s="223"/>
      <c r="G333" s="223">
        <f t="shared" si="61"/>
        <v>0</v>
      </c>
      <c r="H333" s="508" t="s">
        <v>253</v>
      </c>
      <c r="I333" s="145">
        <v>60000</v>
      </c>
      <c r="J333" s="159" t="s">
        <v>78</v>
      </c>
      <c r="K333" s="160" t="s">
        <v>106</v>
      </c>
      <c r="L333" s="504">
        <v>12</v>
      </c>
      <c r="M333" s="161" t="s">
        <v>80</v>
      </c>
      <c r="N333" s="504" t="s">
        <v>81</v>
      </c>
      <c r="O333" s="136">
        <f t="shared" si="60"/>
        <v>720000</v>
      </c>
    </row>
    <row r="334" spans="1:19" ht="13.7" customHeight="1" x14ac:dyDescent="0.15">
      <c r="A334" s="293"/>
      <c r="B334" s="293"/>
      <c r="C334" s="511"/>
      <c r="D334" s="512"/>
      <c r="E334" s="223"/>
      <c r="F334" s="223"/>
      <c r="G334" s="223"/>
      <c r="H334" s="508" t="s">
        <v>265</v>
      </c>
      <c r="I334" s="145">
        <v>240000</v>
      </c>
      <c r="J334" s="159" t="s">
        <v>78</v>
      </c>
      <c r="K334" s="160" t="s">
        <v>106</v>
      </c>
      <c r="L334" s="504">
        <v>3</v>
      </c>
      <c r="M334" s="161" t="s">
        <v>80</v>
      </c>
      <c r="N334" s="504" t="s">
        <v>81</v>
      </c>
      <c r="O334" s="136">
        <f t="shared" ref="O334" si="62">SUM(I334*L334)</f>
        <v>720000</v>
      </c>
    </row>
    <row r="335" spans="1:19" s="377" customFormat="1" ht="13.7" customHeight="1" x14ac:dyDescent="0.15">
      <c r="A335" s="293"/>
      <c r="B335" s="293"/>
      <c r="C335" s="511"/>
      <c r="D335" s="512"/>
      <c r="E335" s="223"/>
      <c r="F335" s="223"/>
      <c r="G335" s="223"/>
      <c r="H335" s="508" t="s">
        <v>579</v>
      </c>
      <c r="I335" s="145">
        <v>35000</v>
      </c>
      <c r="J335" s="159" t="s">
        <v>78</v>
      </c>
      <c r="K335" s="160" t="s">
        <v>106</v>
      </c>
      <c r="L335" s="504">
        <v>60</v>
      </c>
      <c r="M335" s="161" t="s">
        <v>134</v>
      </c>
      <c r="N335" s="504" t="s">
        <v>81</v>
      </c>
      <c r="O335" s="136">
        <f t="shared" ref="O335" si="63">SUM(I335*L335)</f>
        <v>2100000</v>
      </c>
      <c r="P335" s="576"/>
      <c r="Q335" s="312"/>
      <c r="R335" s="274"/>
      <c r="S335" s="274"/>
    </row>
    <row r="336" spans="1:19" s="377" customFormat="1" ht="13.7" customHeight="1" x14ac:dyDescent="0.15">
      <c r="A336" s="293"/>
      <c r="B336" s="293"/>
      <c r="C336" s="511"/>
      <c r="D336" s="512"/>
      <c r="E336" s="223"/>
      <c r="F336" s="223"/>
      <c r="G336" s="223"/>
      <c r="H336" s="508" t="s">
        <v>476</v>
      </c>
      <c r="I336" s="145">
        <v>1700000</v>
      </c>
      <c r="J336" s="159" t="s">
        <v>78</v>
      </c>
      <c r="K336" s="160" t="s">
        <v>106</v>
      </c>
      <c r="L336" s="504">
        <v>12</v>
      </c>
      <c r="M336" s="161" t="s">
        <v>80</v>
      </c>
      <c r="N336" s="504" t="s">
        <v>81</v>
      </c>
      <c r="O336" s="136">
        <f t="shared" ref="O336:O337" si="64">SUM(I336*L336)</f>
        <v>20400000</v>
      </c>
      <c r="P336" s="576"/>
      <c r="Q336" s="312"/>
      <c r="R336" s="274"/>
      <c r="S336" s="274"/>
    </row>
    <row r="337" spans="1:19" s="377" customFormat="1" ht="13.7" customHeight="1" x14ac:dyDescent="0.15">
      <c r="A337" s="293"/>
      <c r="B337" s="293"/>
      <c r="C337" s="511"/>
      <c r="D337" s="512"/>
      <c r="E337" s="223"/>
      <c r="F337" s="223"/>
      <c r="G337" s="223"/>
      <c r="H337" s="508" t="s">
        <v>510</v>
      </c>
      <c r="I337" s="145">
        <v>0</v>
      </c>
      <c r="J337" s="159" t="s">
        <v>78</v>
      </c>
      <c r="K337" s="160" t="s">
        <v>106</v>
      </c>
      <c r="L337" s="504">
        <v>0</v>
      </c>
      <c r="M337" s="161" t="s">
        <v>82</v>
      </c>
      <c r="N337" s="504" t="s">
        <v>81</v>
      </c>
      <c r="O337" s="136">
        <f t="shared" si="64"/>
        <v>0</v>
      </c>
      <c r="P337" s="576"/>
      <c r="Q337" s="312"/>
      <c r="R337" s="274"/>
      <c r="S337" s="274"/>
    </row>
    <row r="338" spans="1:19" ht="13.7" customHeight="1" x14ac:dyDescent="0.15">
      <c r="A338" s="293"/>
      <c r="B338" s="293"/>
      <c r="C338" s="511"/>
      <c r="D338" s="512"/>
      <c r="E338" s="223"/>
      <c r="F338" s="223"/>
      <c r="G338" s="223">
        <f t="shared" si="61"/>
        <v>0</v>
      </c>
      <c r="H338" s="508" t="s">
        <v>183</v>
      </c>
      <c r="I338" s="145">
        <v>22000</v>
      </c>
      <c r="J338" s="159" t="s">
        <v>78</v>
      </c>
      <c r="K338" s="160" t="s">
        <v>106</v>
      </c>
      <c r="L338" s="504">
        <v>12</v>
      </c>
      <c r="M338" s="161" t="s">
        <v>80</v>
      </c>
      <c r="N338" s="504" t="s">
        <v>81</v>
      </c>
      <c r="O338" s="136">
        <f t="shared" si="60"/>
        <v>264000</v>
      </c>
    </row>
    <row r="339" spans="1:19" ht="13.7" customHeight="1" x14ac:dyDescent="0.15">
      <c r="A339" s="293"/>
      <c r="B339" s="293"/>
      <c r="C339" s="511"/>
      <c r="D339" s="512"/>
      <c r="E339" s="223"/>
      <c r="F339" s="223"/>
      <c r="G339" s="223"/>
      <c r="H339" s="508" t="s">
        <v>410</v>
      </c>
      <c r="I339" s="145">
        <v>500000</v>
      </c>
      <c r="J339" s="159" t="s">
        <v>78</v>
      </c>
      <c r="K339" s="160" t="s">
        <v>106</v>
      </c>
      <c r="L339" s="504">
        <v>4</v>
      </c>
      <c r="M339" s="161" t="s">
        <v>82</v>
      </c>
      <c r="N339" s="504" t="s">
        <v>81</v>
      </c>
      <c r="O339" s="136">
        <f t="shared" ref="O339" si="65">SUM(I339*L339)</f>
        <v>2000000</v>
      </c>
    </row>
    <row r="340" spans="1:19" ht="13.7" customHeight="1" x14ac:dyDescent="0.15">
      <c r="A340" s="293"/>
      <c r="B340" s="293"/>
      <c r="C340" s="511"/>
      <c r="D340" s="512"/>
      <c r="E340" s="223"/>
      <c r="F340" s="223"/>
      <c r="G340" s="223"/>
      <c r="H340" s="508" t="s">
        <v>274</v>
      </c>
      <c r="I340" s="145">
        <v>2000000</v>
      </c>
      <c r="J340" s="159" t="s">
        <v>78</v>
      </c>
      <c r="K340" s="160" t="s">
        <v>106</v>
      </c>
      <c r="L340" s="504">
        <v>12</v>
      </c>
      <c r="M340" s="161" t="s">
        <v>80</v>
      </c>
      <c r="N340" s="504" t="s">
        <v>81</v>
      </c>
      <c r="O340" s="136">
        <f t="shared" ref="O340" si="66">SUM(I340*L340)</f>
        <v>24000000</v>
      </c>
    </row>
    <row r="341" spans="1:19" s="377" customFormat="1" ht="13.7" customHeight="1" x14ac:dyDescent="0.15">
      <c r="A341" s="293"/>
      <c r="B341" s="293"/>
      <c r="C341" s="511"/>
      <c r="D341" s="512"/>
      <c r="E341" s="223"/>
      <c r="F341" s="223"/>
      <c r="G341" s="223">
        <f t="shared" si="61"/>
        <v>0</v>
      </c>
      <c r="H341" s="505" t="s">
        <v>211</v>
      </c>
      <c r="I341" s="145">
        <v>12855060</v>
      </c>
      <c r="J341" s="159" t="s">
        <v>78</v>
      </c>
      <c r="K341" s="160" t="s">
        <v>106</v>
      </c>
      <c r="L341" s="504">
        <v>4</v>
      </c>
      <c r="M341" s="160" t="s">
        <v>82</v>
      </c>
      <c r="N341" s="504" t="s">
        <v>81</v>
      </c>
      <c r="O341" s="141">
        <f t="shared" si="60"/>
        <v>51420240</v>
      </c>
      <c r="P341" s="576"/>
      <c r="Q341" s="312"/>
      <c r="R341" s="274"/>
      <c r="S341" s="274"/>
    </row>
    <row r="342" spans="1:19" ht="13.7" customHeight="1" x14ac:dyDescent="0.15">
      <c r="A342" s="293"/>
      <c r="B342" s="293"/>
      <c r="C342" s="511"/>
      <c r="D342" s="512"/>
      <c r="E342" s="223"/>
      <c r="F342" s="223"/>
      <c r="G342" s="223">
        <f t="shared" si="61"/>
        <v>0</v>
      </c>
      <c r="H342" s="506" t="s">
        <v>185</v>
      </c>
      <c r="I342" s="211"/>
      <c r="J342" s="212"/>
      <c r="K342" s="213"/>
      <c r="L342" s="214"/>
      <c r="M342" s="213"/>
      <c r="N342" s="214"/>
      <c r="O342" s="141">
        <f>SUM(O343:O347)</f>
        <v>29000000</v>
      </c>
    </row>
    <row r="343" spans="1:19" ht="13.7" customHeight="1" x14ac:dyDescent="0.15">
      <c r="A343" s="293"/>
      <c r="B343" s="293"/>
      <c r="C343" s="511"/>
      <c r="D343" s="512"/>
      <c r="E343" s="223"/>
      <c r="F343" s="223"/>
      <c r="G343" s="223">
        <f t="shared" si="61"/>
        <v>0</v>
      </c>
      <c r="H343" s="508" t="s">
        <v>184</v>
      </c>
      <c r="I343" s="145">
        <v>600000</v>
      </c>
      <c r="J343" s="159" t="s">
        <v>78</v>
      </c>
      <c r="K343" s="160" t="s">
        <v>106</v>
      </c>
      <c r="L343" s="504">
        <v>6</v>
      </c>
      <c r="M343" s="160" t="s">
        <v>80</v>
      </c>
      <c r="N343" s="504" t="s">
        <v>81</v>
      </c>
      <c r="O343" s="136">
        <f t="shared" ref="O343:O348" si="67">SUM(I343*L343)</f>
        <v>3600000</v>
      </c>
    </row>
    <row r="344" spans="1:19" ht="13.5" customHeight="1" x14ac:dyDescent="0.15">
      <c r="A344" s="293"/>
      <c r="B344" s="293"/>
      <c r="C344" s="511"/>
      <c r="D344" s="512"/>
      <c r="E344" s="223"/>
      <c r="F344" s="223"/>
      <c r="G344" s="223">
        <f>F344-E344</f>
        <v>0</v>
      </c>
      <c r="H344" s="508" t="s">
        <v>313</v>
      </c>
      <c r="I344" s="145">
        <v>2500000</v>
      </c>
      <c r="J344" s="159" t="s">
        <v>78</v>
      </c>
      <c r="K344" s="160" t="s">
        <v>106</v>
      </c>
      <c r="L344" s="504">
        <v>2</v>
      </c>
      <c r="M344" s="160" t="s">
        <v>82</v>
      </c>
      <c r="N344" s="504" t="s">
        <v>81</v>
      </c>
      <c r="O344" s="136">
        <f>SUM(I344*L344)</f>
        <v>5000000</v>
      </c>
    </row>
    <row r="345" spans="1:19" ht="13.7" customHeight="1" x14ac:dyDescent="0.15">
      <c r="A345" s="293"/>
      <c r="B345" s="293"/>
      <c r="C345" s="511"/>
      <c r="D345" s="512"/>
      <c r="E345" s="223"/>
      <c r="F345" s="223"/>
      <c r="G345" s="223">
        <f t="shared" si="61"/>
        <v>0</v>
      </c>
      <c r="H345" s="508" t="s">
        <v>248</v>
      </c>
      <c r="I345" s="145">
        <v>300000</v>
      </c>
      <c r="J345" s="159" t="s">
        <v>78</v>
      </c>
      <c r="K345" s="160" t="s">
        <v>106</v>
      </c>
      <c r="L345" s="504">
        <v>6</v>
      </c>
      <c r="M345" s="160" t="s">
        <v>80</v>
      </c>
      <c r="N345" s="504" t="s">
        <v>81</v>
      </c>
      <c r="O345" s="136">
        <f t="shared" si="67"/>
        <v>1800000</v>
      </c>
    </row>
    <row r="346" spans="1:19" ht="13.7" customHeight="1" x14ac:dyDescent="0.15">
      <c r="A346" s="293"/>
      <c r="B346" s="293"/>
      <c r="C346" s="511"/>
      <c r="D346" s="512"/>
      <c r="E346" s="223"/>
      <c r="F346" s="223"/>
      <c r="G346" s="223"/>
      <c r="H346" s="508" t="s">
        <v>264</v>
      </c>
      <c r="I346" s="145">
        <v>800000</v>
      </c>
      <c r="J346" s="159" t="s">
        <v>78</v>
      </c>
      <c r="K346" s="160" t="s">
        <v>106</v>
      </c>
      <c r="L346" s="504">
        <v>12</v>
      </c>
      <c r="M346" s="160" t="s">
        <v>80</v>
      </c>
      <c r="N346" s="504" t="s">
        <v>81</v>
      </c>
      <c r="O346" s="136">
        <f t="shared" ref="O346" si="68">SUM(I346*L346)</f>
        <v>9600000</v>
      </c>
    </row>
    <row r="347" spans="1:19" ht="13.7" customHeight="1" x14ac:dyDescent="0.15">
      <c r="A347" s="293"/>
      <c r="B347" s="293"/>
      <c r="C347" s="511"/>
      <c r="D347" s="512"/>
      <c r="E347" s="223"/>
      <c r="F347" s="223"/>
      <c r="G347" s="223">
        <f t="shared" si="61"/>
        <v>0</v>
      </c>
      <c r="H347" s="508" t="s">
        <v>322</v>
      </c>
      <c r="I347" s="145">
        <v>750000</v>
      </c>
      <c r="J347" s="159" t="s">
        <v>78</v>
      </c>
      <c r="K347" s="160" t="s">
        <v>106</v>
      </c>
      <c r="L347" s="504">
        <v>12</v>
      </c>
      <c r="M347" s="160" t="s">
        <v>82</v>
      </c>
      <c r="N347" s="504" t="s">
        <v>81</v>
      </c>
      <c r="O347" s="136">
        <f t="shared" si="67"/>
        <v>9000000</v>
      </c>
    </row>
    <row r="348" spans="1:19" ht="13.7" customHeight="1" x14ac:dyDescent="0.15">
      <c r="A348" s="293"/>
      <c r="B348" s="293"/>
      <c r="C348" s="497"/>
      <c r="D348" s="498"/>
      <c r="E348" s="322"/>
      <c r="F348" s="322"/>
      <c r="G348" s="322">
        <f t="shared" si="61"/>
        <v>0</v>
      </c>
      <c r="H348" s="346" t="s">
        <v>186</v>
      </c>
      <c r="I348" s="147">
        <v>250000</v>
      </c>
      <c r="J348" s="179" t="s">
        <v>78</v>
      </c>
      <c r="K348" s="180" t="s">
        <v>106</v>
      </c>
      <c r="L348" s="513">
        <v>12</v>
      </c>
      <c r="M348" s="180" t="s">
        <v>80</v>
      </c>
      <c r="N348" s="513" t="s">
        <v>81</v>
      </c>
      <c r="O348" s="181">
        <f t="shared" si="67"/>
        <v>3000000</v>
      </c>
    </row>
    <row r="349" spans="1:19" ht="13.7" customHeight="1" x14ac:dyDescent="0.15">
      <c r="A349" s="293"/>
      <c r="B349" s="293"/>
      <c r="C349" s="745" t="s">
        <v>22</v>
      </c>
      <c r="D349" s="746"/>
      <c r="E349" s="223">
        <v>55620</v>
      </c>
      <c r="F349" s="223">
        <f>O349/1000</f>
        <v>35020</v>
      </c>
      <c r="G349" s="162">
        <f t="shared" si="61"/>
        <v>-20600</v>
      </c>
      <c r="H349" s="506" t="s">
        <v>187</v>
      </c>
      <c r="I349" s="211"/>
      <c r="J349" s="212"/>
      <c r="K349" s="213"/>
      <c r="L349" s="214"/>
      <c r="M349" s="213"/>
      <c r="N349" s="214"/>
      <c r="O349" s="141">
        <f>SUM(O350,O358,O360,O362,O367,O369)</f>
        <v>35020000</v>
      </c>
    </row>
    <row r="350" spans="1:19" ht="13.7" customHeight="1" x14ac:dyDescent="0.15">
      <c r="A350" s="293"/>
      <c r="B350" s="293"/>
      <c r="C350" s="511"/>
      <c r="D350" s="512"/>
      <c r="E350" s="223"/>
      <c r="F350" s="223"/>
      <c r="G350" s="223">
        <f t="shared" si="61"/>
        <v>0</v>
      </c>
      <c r="H350" s="506" t="s">
        <v>225</v>
      </c>
      <c r="I350" s="211"/>
      <c r="J350" s="212"/>
      <c r="K350" s="213"/>
      <c r="L350" s="214"/>
      <c r="M350" s="213"/>
      <c r="N350" s="214"/>
      <c r="O350" s="141">
        <f>SUM(O351:O355)</f>
        <v>15800000</v>
      </c>
    </row>
    <row r="351" spans="1:19" ht="13.7" customHeight="1" x14ac:dyDescent="0.15">
      <c r="A351" s="293"/>
      <c r="B351" s="293"/>
      <c r="C351" s="511"/>
      <c r="D351" s="512"/>
      <c r="E351" s="223"/>
      <c r="F351" s="223"/>
      <c r="G351" s="223">
        <f t="shared" si="61"/>
        <v>0</v>
      </c>
      <c r="H351" s="508" t="s">
        <v>172</v>
      </c>
      <c r="I351" s="145">
        <v>600000</v>
      </c>
      <c r="J351" s="159" t="s">
        <v>78</v>
      </c>
      <c r="K351" s="160" t="s">
        <v>106</v>
      </c>
      <c r="L351" s="504">
        <v>12</v>
      </c>
      <c r="M351" s="161" t="s">
        <v>82</v>
      </c>
      <c r="N351" s="504" t="s">
        <v>81</v>
      </c>
      <c r="O351" s="136">
        <f t="shared" ref="O351" si="69">SUM(I351*L351)</f>
        <v>7200000</v>
      </c>
    </row>
    <row r="352" spans="1:19" ht="13.7" customHeight="1" x14ac:dyDescent="0.15">
      <c r="A352" s="293"/>
      <c r="B352" s="293"/>
      <c r="C352" s="511"/>
      <c r="D352" s="512"/>
      <c r="E352" s="223"/>
      <c r="F352" s="223"/>
      <c r="G352" s="223"/>
      <c r="H352" s="508" t="s">
        <v>270</v>
      </c>
      <c r="I352" s="145">
        <v>0</v>
      </c>
      <c r="J352" s="137" t="s">
        <v>241</v>
      </c>
      <c r="K352" s="160" t="s">
        <v>106</v>
      </c>
      <c r="L352" s="504">
        <v>0</v>
      </c>
      <c r="M352" s="160" t="s">
        <v>242</v>
      </c>
      <c r="N352" s="504" t="s">
        <v>240</v>
      </c>
      <c r="O352" s="136">
        <f t="shared" ref="O352:O355" si="70">SUM(I352*L352)</f>
        <v>0</v>
      </c>
    </row>
    <row r="353" spans="1:19" ht="13.7" customHeight="1" x14ac:dyDescent="0.15">
      <c r="A353" s="293"/>
      <c r="B353" s="293"/>
      <c r="C353" s="511"/>
      <c r="D353" s="512"/>
      <c r="E353" s="223"/>
      <c r="F353" s="223"/>
      <c r="G353" s="223"/>
      <c r="H353" s="508" t="s">
        <v>307</v>
      </c>
      <c r="I353" s="145">
        <v>150000</v>
      </c>
      <c r="J353" s="159" t="s">
        <v>241</v>
      </c>
      <c r="K353" s="160" t="s">
        <v>106</v>
      </c>
      <c r="L353" s="504">
        <v>12</v>
      </c>
      <c r="M353" s="160" t="s">
        <v>242</v>
      </c>
      <c r="N353" s="504" t="s">
        <v>240</v>
      </c>
      <c r="O353" s="136">
        <f t="shared" ref="O353" si="71">SUM(I353*L353)</f>
        <v>1800000</v>
      </c>
    </row>
    <row r="354" spans="1:19" ht="13.7" customHeight="1" x14ac:dyDescent="0.15">
      <c r="A354" s="293"/>
      <c r="B354" s="293"/>
      <c r="C354" s="511"/>
      <c r="D354" s="512"/>
      <c r="E354" s="223"/>
      <c r="F354" s="223"/>
      <c r="G354" s="223">
        <f t="shared" si="61"/>
        <v>0</v>
      </c>
      <c r="H354" s="508" t="s">
        <v>273</v>
      </c>
      <c r="I354" s="145">
        <v>800000</v>
      </c>
      <c r="J354" s="159" t="s">
        <v>241</v>
      </c>
      <c r="K354" s="160" t="s">
        <v>106</v>
      </c>
      <c r="L354" s="504">
        <v>1</v>
      </c>
      <c r="M354" s="160" t="s">
        <v>242</v>
      </c>
      <c r="N354" s="504" t="s">
        <v>240</v>
      </c>
      <c r="O354" s="136">
        <f t="shared" si="70"/>
        <v>800000</v>
      </c>
    </row>
    <row r="355" spans="1:19" s="430" customFormat="1" ht="13.5" customHeight="1" x14ac:dyDescent="0.15">
      <c r="A355" s="293"/>
      <c r="B355" s="293"/>
      <c r="C355" s="511"/>
      <c r="D355" s="512"/>
      <c r="E355" s="223"/>
      <c r="F355" s="223"/>
      <c r="G355" s="223">
        <f t="shared" ref="G355:G447" si="72">F355-E355</f>
        <v>0</v>
      </c>
      <c r="H355" s="508" t="s">
        <v>390</v>
      </c>
      <c r="I355" s="145">
        <v>500000</v>
      </c>
      <c r="J355" s="137" t="s">
        <v>241</v>
      </c>
      <c r="K355" s="160" t="s">
        <v>106</v>
      </c>
      <c r="L355" s="504">
        <v>12</v>
      </c>
      <c r="M355" s="160" t="s">
        <v>82</v>
      </c>
      <c r="N355" s="504" t="s">
        <v>240</v>
      </c>
      <c r="O355" s="136">
        <f t="shared" si="70"/>
        <v>6000000</v>
      </c>
      <c r="P355" s="576"/>
      <c r="Q355" s="312"/>
      <c r="R355" s="274"/>
      <c r="S355" s="274"/>
    </row>
    <row r="356" spans="1:19" ht="13.5" customHeight="1" x14ac:dyDescent="0.15">
      <c r="A356" s="293"/>
      <c r="B356" s="293"/>
      <c r="C356" s="511"/>
      <c r="D356" s="512"/>
      <c r="E356" s="223"/>
      <c r="F356" s="223"/>
      <c r="G356" s="223"/>
      <c r="H356" s="508" t="s">
        <v>538</v>
      </c>
      <c r="I356" s="145">
        <v>0</v>
      </c>
      <c r="J356" s="137" t="s">
        <v>241</v>
      </c>
      <c r="K356" s="160" t="s">
        <v>106</v>
      </c>
      <c r="L356" s="504">
        <v>0</v>
      </c>
      <c r="M356" s="160" t="s">
        <v>80</v>
      </c>
      <c r="N356" s="504" t="s">
        <v>240</v>
      </c>
      <c r="O356" s="136">
        <f t="shared" ref="O356" si="73">SUM(I356*L356)</f>
        <v>0</v>
      </c>
    </row>
    <row r="357" spans="1:19" ht="13.5" customHeight="1" x14ac:dyDescent="0.15">
      <c r="A357" s="293"/>
      <c r="B357" s="293"/>
      <c r="C357" s="511"/>
      <c r="D357" s="512"/>
      <c r="E357" s="223"/>
      <c r="F357" s="223"/>
      <c r="G357" s="223"/>
      <c r="H357" s="508" t="s">
        <v>392</v>
      </c>
      <c r="I357" s="145">
        <v>0</v>
      </c>
      <c r="J357" s="137" t="s">
        <v>241</v>
      </c>
      <c r="K357" s="160" t="s">
        <v>106</v>
      </c>
      <c r="L357" s="504">
        <v>0</v>
      </c>
      <c r="M357" s="160" t="s">
        <v>80</v>
      </c>
      <c r="N357" s="504" t="s">
        <v>240</v>
      </c>
      <c r="O357" s="136">
        <f t="shared" ref="O357" si="74">SUM(I357*L357)</f>
        <v>0</v>
      </c>
    </row>
    <row r="358" spans="1:19" ht="13.5" customHeight="1" x14ac:dyDescent="0.15">
      <c r="A358" s="293"/>
      <c r="B358" s="293"/>
      <c r="C358" s="511"/>
      <c r="D358" s="512"/>
      <c r="E358" s="223"/>
      <c r="F358" s="223"/>
      <c r="G358" s="223"/>
      <c r="H358" s="506" t="s">
        <v>456</v>
      </c>
      <c r="I358" s="145"/>
      <c r="J358" s="137"/>
      <c r="K358" s="160"/>
      <c r="L358" s="504"/>
      <c r="M358" s="160"/>
      <c r="N358" s="504"/>
      <c r="O358" s="141">
        <v>8000000</v>
      </c>
    </row>
    <row r="359" spans="1:19" ht="13.5" customHeight="1" x14ac:dyDescent="0.15">
      <c r="A359" s="293"/>
      <c r="B359" s="293"/>
      <c r="C359" s="511"/>
      <c r="D359" s="512"/>
      <c r="E359" s="223"/>
      <c r="F359" s="223"/>
      <c r="G359" s="223"/>
      <c r="H359" s="508" t="s">
        <v>395</v>
      </c>
      <c r="I359" s="145">
        <v>8000000</v>
      </c>
      <c r="J359" s="137" t="s">
        <v>241</v>
      </c>
      <c r="K359" s="160" t="s">
        <v>106</v>
      </c>
      <c r="L359" s="504">
        <v>1</v>
      </c>
      <c r="M359" s="160" t="s">
        <v>82</v>
      </c>
      <c r="N359" s="504" t="s">
        <v>240</v>
      </c>
      <c r="O359" s="136">
        <f t="shared" ref="O359" si="75">SUM(I359*L359)</f>
        <v>8000000</v>
      </c>
      <c r="Q359" s="312">
        <v>15750</v>
      </c>
      <c r="R359" s="274">
        <f>Q359/12</f>
        <v>1312.5</v>
      </c>
    </row>
    <row r="360" spans="1:19" ht="13.5" customHeight="1" x14ac:dyDescent="0.15">
      <c r="A360" s="293"/>
      <c r="B360" s="293"/>
      <c r="C360" s="511"/>
      <c r="D360" s="512"/>
      <c r="E360" s="223"/>
      <c r="F360" s="223"/>
      <c r="G360" s="223">
        <f t="shared" si="72"/>
        <v>0</v>
      </c>
      <c r="H360" s="506" t="s">
        <v>308</v>
      </c>
      <c r="I360" s="211"/>
      <c r="J360" s="212"/>
      <c r="K360" s="213"/>
      <c r="L360" s="214"/>
      <c r="M360" s="213"/>
      <c r="N360" s="214"/>
      <c r="O360" s="141">
        <f>SUM(O361:O361)</f>
        <v>4000000</v>
      </c>
    </row>
    <row r="361" spans="1:19" ht="13.5" customHeight="1" x14ac:dyDescent="0.15">
      <c r="A361" s="293"/>
      <c r="B361" s="293"/>
      <c r="C361" s="511"/>
      <c r="D361" s="512"/>
      <c r="E361" s="223"/>
      <c r="F361" s="223"/>
      <c r="G361" s="223">
        <f t="shared" si="72"/>
        <v>0</v>
      </c>
      <c r="H361" s="508" t="s">
        <v>254</v>
      </c>
      <c r="I361" s="145">
        <v>2000000</v>
      </c>
      <c r="J361" s="159" t="s">
        <v>78</v>
      </c>
      <c r="K361" s="160" t="s">
        <v>106</v>
      </c>
      <c r="L361" s="504">
        <v>2</v>
      </c>
      <c r="M361" s="160" t="s">
        <v>82</v>
      </c>
      <c r="N361" s="504" t="s">
        <v>81</v>
      </c>
      <c r="O361" s="136">
        <f t="shared" ref="O361" si="76">SUM(I361*L361)</f>
        <v>4000000</v>
      </c>
    </row>
    <row r="362" spans="1:19" ht="13.5" customHeight="1" x14ac:dyDescent="0.15">
      <c r="A362" s="293"/>
      <c r="B362" s="293"/>
      <c r="C362" s="511"/>
      <c r="D362" s="512"/>
      <c r="E362" s="223"/>
      <c r="F362" s="223"/>
      <c r="G362" s="223">
        <f t="shared" si="72"/>
        <v>0</v>
      </c>
      <c r="H362" s="506" t="s">
        <v>309</v>
      </c>
      <c r="I362" s="211"/>
      <c r="J362" s="212"/>
      <c r="K362" s="213"/>
      <c r="L362" s="214"/>
      <c r="M362" s="213"/>
      <c r="N362" s="214"/>
      <c r="O362" s="141">
        <f>SUM(O363:O365)</f>
        <v>7220000</v>
      </c>
    </row>
    <row r="363" spans="1:19" ht="13.5" customHeight="1" x14ac:dyDescent="0.15">
      <c r="A363" s="293"/>
      <c r="B363" s="293"/>
      <c r="C363" s="511"/>
      <c r="D363" s="512"/>
      <c r="E363" s="223"/>
      <c r="F363" s="223"/>
      <c r="G363" s="223">
        <f t="shared" si="72"/>
        <v>0</v>
      </c>
      <c r="H363" s="508" t="s">
        <v>212</v>
      </c>
      <c r="I363" s="145">
        <v>255000</v>
      </c>
      <c r="J363" s="159" t="s">
        <v>78</v>
      </c>
      <c r="K363" s="160" t="s">
        <v>106</v>
      </c>
      <c r="L363" s="504">
        <v>4</v>
      </c>
      <c r="M363" s="160" t="s">
        <v>82</v>
      </c>
      <c r="N363" s="504" t="s">
        <v>81</v>
      </c>
      <c r="O363" s="136">
        <f t="shared" ref="O363:O364" si="77">SUM(I363*L363)</f>
        <v>1020000</v>
      </c>
    </row>
    <row r="364" spans="1:19" ht="13.5" customHeight="1" x14ac:dyDescent="0.15">
      <c r="A364" s="293"/>
      <c r="B364" s="293"/>
      <c r="C364" s="511"/>
      <c r="D364" s="512"/>
      <c r="E364" s="223"/>
      <c r="F364" s="223"/>
      <c r="G364" s="223"/>
      <c r="H364" s="508" t="s">
        <v>388</v>
      </c>
      <c r="I364" s="145">
        <v>500000</v>
      </c>
      <c r="J364" s="159" t="s">
        <v>78</v>
      </c>
      <c r="K364" s="160" t="s">
        <v>106</v>
      </c>
      <c r="L364" s="504">
        <v>12</v>
      </c>
      <c r="M364" s="160" t="s">
        <v>80</v>
      </c>
      <c r="N364" s="504" t="s">
        <v>81</v>
      </c>
      <c r="O364" s="136">
        <f t="shared" si="77"/>
        <v>6000000</v>
      </c>
      <c r="P364" s="576" t="s">
        <v>577</v>
      </c>
    </row>
    <row r="365" spans="1:19" ht="13.5" customHeight="1" x14ac:dyDescent="0.15">
      <c r="A365" s="293"/>
      <c r="B365" s="293"/>
      <c r="C365" s="511"/>
      <c r="D365" s="512"/>
      <c r="E365" s="223"/>
      <c r="F365" s="223"/>
      <c r="G365" s="223"/>
      <c r="H365" s="508" t="s">
        <v>389</v>
      </c>
      <c r="I365" s="145">
        <v>50000</v>
      </c>
      <c r="J365" s="159" t="s">
        <v>78</v>
      </c>
      <c r="K365" s="160" t="s">
        <v>106</v>
      </c>
      <c r="L365" s="504">
        <v>4</v>
      </c>
      <c r="M365" s="160" t="s">
        <v>80</v>
      </c>
      <c r="N365" s="504" t="s">
        <v>81</v>
      </c>
      <c r="O365" s="136">
        <f t="shared" ref="O365" si="78">SUM(I365*L365)</f>
        <v>200000</v>
      </c>
    </row>
    <row r="366" spans="1:19" ht="13.5" customHeight="1" x14ac:dyDescent="0.15">
      <c r="A366" s="293"/>
      <c r="B366" s="293"/>
      <c r="C366" s="511"/>
      <c r="D366" s="512"/>
      <c r="E366" s="223"/>
      <c r="F366" s="223"/>
      <c r="G366" s="223"/>
      <c r="H366" s="508" t="s">
        <v>391</v>
      </c>
      <c r="I366" s="145">
        <v>4000000</v>
      </c>
      <c r="J366" s="159" t="s">
        <v>78</v>
      </c>
      <c r="K366" s="160" t="s">
        <v>106</v>
      </c>
      <c r="L366" s="504">
        <v>1</v>
      </c>
      <c r="M366" s="160" t="s">
        <v>80</v>
      </c>
      <c r="N366" s="504" t="s">
        <v>81</v>
      </c>
      <c r="O366" s="136">
        <f t="shared" ref="O366" si="79">SUM(I366*L366)</f>
        <v>4000000</v>
      </c>
    </row>
    <row r="367" spans="1:19" ht="13.5" customHeight="1" x14ac:dyDescent="0.15">
      <c r="A367" s="293"/>
      <c r="B367" s="293"/>
      <c r="C367" s="511"/>
      <c r="D367" s="512"/>
      <c r="E367" s="223"/>
      <c r="F367" s="223"/>
      <c r="G367" s="223">
        <f t="shared" si="72"/>
        <v>0</v>
      </c>
      <c r="H367" s="506" t="s">
        <v>310</v>
      </c>
      <c r="I367" s="211"/>
      <c r="J367" s="212"/>
      <c r="K367" s="213"/>
      <c r="L367" s="214"/>
      <c r="M367" s="213"/>
      <c r="N367" s="214"/>
      <c r="O367" s="141">
        <f>SUM(O368:O368)</f>
        <v>0</v>
      </c>
    </row>
    <row r="368" spans="1:19" ht="13.5" customHeight="1" x14ac:dyDescent="0.15">
      <c r="A368" s="293"/>
      <c r="B368" s="293"/>
      <c r="C368" s="511"/>
      <c r="D368" s="512"/>
      <c r="E368" s="223"/>
      <c r="F368" s="223"/>
      <c r="G368" s="223">
        <f t="shared" si="72"/>
        <v>0</v>
      </c>
      <c r="H368" s="508" t="s">
        <v>188</v>
      </c>
      <c r="I368" s="145">
        <v>0</v>
      </c>
      <c r="J368" s="137" t="s">
        <v>78</v>
      </c>
      <c r="K368" s="160" t="s">
        <v>106</v>
      </c>
      <c r="L368" s="504">
        <v>0</v>
      </c>
      <c r="M368" s="160" t="s">
        <v>82</v>
      </c>
      <c r="N368" s="504" t="s">
        <v>81</v>
      </c>
      <c r="O368" s="136">
        <f t="shared" ref="O368" si="80">SUM(I368*L368)</f>
        <v>0</v>
      </c>
    </row>
    <row r="369" spans="1:19" ht="13.5" customHeight="1" x14ac:dyDescent="0.15">
      <c r="A369" s="293"/>
      <c r="B369" s="293"/>
      <c r="C369" s="511"/>
      <c r="D369" s="512"/>
      <c r="E369" s="223"/>
      <c r="F369" s="223"/>
      <c r="G369" s="223">
        <f t="shared" si="72"/>
        <v>0</v>
      </c>
      <c r="H369" s="506" t="s">
        <v>311</v>
      </c>
      <c r="I369" s="211"/>
      <c r="J369" s="212"/>
      <c r="K369" s="213"/>
      <c r="L369" s="214"/>
      <c r="M369" s="213"/>
      <c r="N369" s="214"/>
      <c r="O369" s="141">
        <f>SUM(O370:O370)</f>
        <v>0</v>
      </c>
    </row>
    <row r="370" spans="1:19" ht="13.5" customHeight="1" x14ac:dyDescent="0.15">
      <c r="A370" s="293"/>
      <c r="B370" s="293"/>
      <c r="C370" s="497"/>
      <c r="D370" s="498"/>
      <c r="E370" s="322"/>
      <c r="F370" s="322"/>
      <c r="G370" s="322">
        <f t="shared" si="72"/>
        <v>0</v>
      </c>
      <c r="H370" s="146" t="s">
        <v>213</v>
      </c>
      <c r="I370" s="147">
        <v>0</v>
      </c>
      <c r="J370" s="148" t="s">
        <v>78</v>
      </c>
      <c r="K370" s="180" t="s">
        <v>106</v>
      </c>
      <c r="L370" s="513">
        <v>0</v>
      </c>
      <c r="M370" s="180" t="s">
        <v>82</v>
      </c>
      <c r="N370" s="513" t="s">
        <v>81</v>
      </c>
      <c r="O370" s="142">
        <f t="shared" ref="O370" si="81">SUM(I370*L370)</f>
        <v>0</v>
      </c>
    </row>
    <row r="371" spans="1:19" ht="14.1" customHeight="1" x14ac:dyDescent="0.15">
      <c r="A371" s="293"/>
      <c r="B371" s="293"/>
      <c r="C371" s="745" t="s">
        <v>33</v>
      </c>
      <c r="D371" s="746"/>
      <c r="E371" s="223">
        <v>112220</v>
      </c>
      <c r="F371" s="223">
        <f>O371/1000</f>
        <v>73620</v>
      </c>
      <c r="G371" s="162">
        <f t="shared" si="72"/>
        <v>-38600</v>
      </c>
      <c r="H371" s="506" t="s">
        <v>139</v>
      </c>
      <c r="I371" s="145"/>
      <c r="J371" s="159"/>
      <c r="K371" s="160"/>
      <c r="L371" s="504"/>
      <c r="M371" s="160"/>
      <c r="N371" s="504"/>
      <c r="O371" s="141">
        <f>SUM(O372:O381)</f>
        <v>73620000</v>
      </c>
    </row>
    <row r="372" spans="1:19" ht="13.5" customHeight="1" x14ac:dyDescent="0.15">
      <c r="A372" s="293"/>
      <c r="B372" s="293"/>
      <c r="C372" s="511"/>
      <c r="D372" s="512"/>
      <c r="E372" s="223"/>
      <c r="F372" s="223"/>
      <c r="G372" s="223">
        <f t="shared" si="72"/>
        <v>0</v>
      </c>
      <c r="H372" s="508" t="s">
        <v>140</v>
      </c>
      <c r="I372" s="145">
        <v>4000000</v>
      </c>
      <c r="J372" s="159" t="s">
        <v>78</v>
      </c>
      <c r="K372" s="160" t="s">
        <v>106</v>
      </c>
      <c r="L372" s="504">
        <v>2</v>
      </c>
      <c r="M372" s="160" t="s">
        <v>82</v>
      </c>
      <c r="N372" s="504" t="s">
        <v>81</v>
      </c>
      <c r="O372" s="136">
        <f t="shared" ref="O372:O381" si="82">SUM(I372*L372)</f>
        <v>8000000</v>
      </c>
    </row>
    <row r="373" spans="1:19" ht="13.5" customHeight="1" x14ac:dyDescent="0.15">
      <c r="A373" s="293"/>
      <c r="B373" s="293"/>
      <c r="C373" s="511"/>
      <c r="D373" s="512"/>
      <c r="E373" s="223"/>
      <c r="F373" s="223"/>
      <c r="G373" s="223">
        <f t="shared" si="72"/>
        <v>0</v>
      </c>
      <c r="H373" s="508" t="s">
        <v>141</v>
      </c>
      <c r="I373" s="145">
        <v>5000000</v>
      </c>
      <c r="J373" s="159" t="s">
        <v>78</v>
      </c>
      <c r="K373" s="160" t="s">
        <v>106</v>
      </c>
      <c r="L373" s="504">
        <v>2</v>
      </c>
      <c r="M373" s="160" t="s">
        <v>82</v>
      </c>
      <c r="N373" s="504" t="s">
        <v>81</v>
      </c>
      <c r="O373" s="136">
        <f t="shared" si="82"/>
        <v>10000000</v>
      </c>
    </row>
    <row r="374" spans="1:19" ht="13.5" customHeight="1" x14ac:dyDescent="0.15">
      <c r="A374" s="293"/>
      <c r="B374" s="293"/>
      <c r="C374" s="511"/>
      <c r="D374" s="512"/>
      <c r="E374" s="223"/>
      <c r="F374" s="223"/>
      <c r="G374" s="223">
        <f t="shared" si="72"/>
        <v>0</v>
      </c>
      <c r="H374" s="508" t="s">
        <v>142</v>
      </c>
      <c r="I374" s="145">
        <v>360000</v>
      </c>
      <c r="J374" s="159" t="s">
        <v>78</v>
      </c>
      <c r="K374" s="160" t="s">
        <v>106</v>
      </c>
      <c r="L374" s="504">
        <v>12</v>
      </c>
      <c r="M374" s="160" t="s">
        <v>80</v>
      </c>
      <c r="N374" s="504" t="s">
        <v>81</v>
      </c>
      <c r="O374" s="136">
        <f t="shared" si="82"/>
        <v>4320000</v>
      </c>
      <c r="P374" s="585"/>
    </row>
    <row r="375" spans="1:19" ht="13.5" customHeight="1" x14ac:dyDescent="0.15">
      <c r="A375" s="293"/>
      <c r="B375" s="293"/>
      <c r="C375" s="511"/>
      <c r="D375" s="512"/>
      <c r="E375" s="223"/>
      <c r="F375" s="223"/>
      <c r="G375" s="223">
        <f t="shared" si="72"/>
        <v>0</v>
      </c>
      <c r="H375" s="508" t="s">
        <v>143</v>
      </c>
      <c r="I375" s="145">
        <v>0</v>
      </c>
      <c r="J375" s="159" t="s">
        <v>78</v>
      </c>
      <c r="K375" s="160" t="s">
        <v>106</v>
      </c>
      <c r="L375" s="504">
        <v>0</v>
      </c>
      <c r="M375" s="160" t="s">
        <v>82</v>
      </c>
      <c r="N375" s="504" t="s">
        <v>81</v>
      </c>
      <c r="O375" s="136">
        <f t="shared" si="82"/>
        <v>0</v>
      </c>
    </row>
    <row r="376" spans="1:19" ht="13.5" customHeight="1" x14ac:dyDescent="0.15">
      <c r="A376" s="293"/>
      <c r="B376" s="293"/>
      <c r="C376" s="511"/>
      <c r="D376" s="512"/>
      <c r="E376" s="223"/>
      <c r="F376" s="223"/>
      <c r="G376" s="223">
        <f t="shared" si="72"/>
        <v>0</v>
      </c>
      <c r="H376" s="508" t="s">
        <v>246</v>
      </c>
      <c r="I376" s="145">
        <v>10000000</v>
      </c>
      <c r="J376" s="159" t="s">
        <v>78</v>
      </c>
      <c r="K376" s="160" t="s">
        <v>106</v>
      </c>
      <c r="L376" s="504">
        <v>4</v>
      </c>
      <c r="M376" s="160" t="s">
        <v>82</v>
      </c>
      <c r="N376" s="504" t="s">
        <v>81</v>
      </c>
      <c r="O376" s="136">
        <f t="shared" si="82"/>
        <v>40000000</v>
      </c>
      <c r="P376" s="576" t="s">
        <v>578</v>
      </c>
    </row>
    <row r="377" spans="1:19" ht="13.5" customHeight="1" x14ac:dyDescent="0.15">
      <c r="A377" s="293"/>
      <c r="B377" s="293"/>
      <c r="C377" s="511"/>
      <c r="D377" s="512"/>
      <c r="E377" s="223"/>
      <c r="F377" s="223"/>
      <c r="G377" s="223"/>
      <c r="H377" s="508" t="s">
        <v>247</v>
      </c>
      <c r="I377" s="145">
        <v>50000</v>
      </c>
      <c r="J377" s="159" t="s">
        <v>78</v>
      </c>
      <c r="K377" s="160" t="s">
        <v>106</v>
      </c>
      <c r="L377" s="504">
        <v>6</v>
      </c>
      <c r="M377" s="160" t="s">
        <v>82</v>
      </c>
      <c r="N377" s="504" t="s">
        <v>81</v>
      </c>
      <c r="O377" s="136">
        <f t="shared" si="82"/>
        <v>300000</v>
      </c>
    </row>
    <row r="378" spans="1:19" ht="13.5" customHeight="1" x14ac:dyDescent="0.15">
      <c r="A378" s="293"/>
      <c r="B378" s="293"/>
      <c r="C378" s="511"/>
      <c r="D378" s="512"/>
      <c r="E378" s="223"/>
      <c r="F378" s="223"/>
      <c r="G378" s="223">
        <f t="shared" si="72"/>
        <v>0</v>
      </c>
      <c r="H378" s="508" t="s">
        <v>312</v>
      </c>
      <c r="I378" s="145">
        <v>0</v>
      </c>
      <c r="J378" s="159" t="s">
        <v>78</v>
      </c>
      <c r="K378" s="160" t="s">
        <v>106</v>
      </c>
      <c r="L378" s="504">
        <v>0</v>
      </c>
      <c r="M378" s="160" t="s">
        <v>82</v>
      </c>
      <c r="N378" s="504" t="s">
        <v>81</v>
      </c>
      <c r="O378" s="136">
        <f t="shared" si="82"/>
        <v>0</v>
      </c>
    </row>
    <row r="379" spans="1:19" ht="13.5" customHeight="1" x14ac:dyDescent="0.15">
      <c r="A379" s="293"/>
      <c r="B379" s="293"/>
      <c r="C379" s="511"/>
      <c r="D379" s="512"/>
      <c r="E379" s="223"/>
      <c r="F379" s="223"/>
      <c r="G379" s="223"/>
      <c r="H379" s="507" t="s">
        <v>314</v>
      </c>
      <c r="I379" s="145">
        <v>3000000</v>
      </c>
      <c r="J379" s="159" t="s">
        <v>78</v>
      </c>
      <c r="K379" s="160" t="s">
        <v>106</v>
      </c>
      <c r="L379" s="504">
        <v>1</v>
      </c>
      <c r="M379" s="160" t="s">
        <v>82</v>
      </c>
      <c r="N379" s="504" t="s">
        <v>81</v>
      </c>
      <c r="O379" s="136">
        <f t="shared" si="82"/>
        <v>3000000</v>
      </c>
    </row>
    <row r="380" spans="1:19" ht="13.5" customHeight="1" x14ac:dyDescent="0.15">
      <c r="A380" s="293"/>
      <c r="B380" s="293"/>
      <c r="C380" s="511"/>
      <c r="D380" s="512"/>
      <c r="E380" s="223"/>
      <c r="F380" s="223"/>
      <c r="G380" s="223"/>
      <c r="H380" s="507" t="s">
        <v>413</v>
      </c>
      <c r="I380" s="145">
        <v>5000000</v>
      </c>
      <c r="J380" s="159" t="s">
        <v>78</v>
      </c>
      <c r="K380" s="160" t="s">
        <v>106</v>
      </c>
      <c r="L380" s="504">
        <v>1</v>
      </c>
      <c r="M380" s="160" t="s">
        <v>82</v>
      </c>
      <c r="N380" s="504" t="s">
        <v>81</v>
      </c>
      <c r="O380" s="136">
        <f t="shared" ref="O380" si="83">SUM(I380*L380)</f>
        <v>5000000</v>
      </c>
    </row>
    <row r="381" spans="1:19" s="377" customFormat="1" ht="13.5" customHeight="1" x14ac:dyDescent="0.15">
      <c r="A381" s="293"/>
      <c r="B381" s="293"/>
      <c r="C381" s="497"/>
      <c r="D381" s="498"/>
      <c r="E381" s="322"/>
      <c r="F381" s="322"/>
      <c r="G381" s="322">
        <f t="shared" si="72"/>
        <v>0</v>
      </c>
      <c r="H381" s="227" t="s">
        <v>539</v>
      </c>
      <c r="I381" s="147">
        <v>3000000</v>
      </c>
      <c r="J381" s="179" t="s">
        <v>78</v>
      </c>
      <c r="K381" s="180" t="s">
        <v>106</v>
      </c>
      <c r="L381" s="513">
        <v>1</v>
      </c>
      <c r="M381" s="180" t="s">
        <v>82</v>
      </c>
      <c r="N381" s="513" t="s">
        <v>81</v>
      </c>
      <c r="O381" s="142">
        <f t="shared" si="82"/>
        <v>3000000</v>
      </c>
      <c r="P381" s="576"/>
      <c r="Q381" s="312"/>
      <c r="R381" s="274"/>
      <c r="S381" s="274"/>
    </row>
    <row r="382" spans="1:19" ht="14.1" customHeight="1" x14ac:dyDescent="0.15">
      <c r="A382" s="293"/>
      <c r="B382" s="293"/>
      <c r="C382" s="745" t="s">
        <v>34</v>
      </c>
      <c r="D382" s="746"/>
      <c r="E382" s="223">
        <v>25580</v>
      </c>
      <c r="F382" s="223">
        <f>O382/1000</f>
        <v>13580</v>
      </c>
      <c r="G382" s="162">
        <f t="shared" si="72"/>
        <v>-12000</v>
      </c>
      <c r="H382" s="506" t="s">
        <v>189</v>
      </c>
      <c r="I382" s="211"/>
      <c r="J382" s="212"/>
      <c r="K382" s="213"/>
      <c r="L382" s="214"/>
      <c r="M382" s="213"/>
      <c r="N382" s="214"/>
      <c r="O382" s="141">
        <f>SUM(O383:O387)</f>
        <v>13580000</v>
      </c>
    </row>
    <row r="383" spans="1:19" ht="14.1" customHeight="1" x14ac:dyDescent="0.15">
      <c r="A383" s="293"/>
      <c r="B383" s="293"/>
      <c r="C383" s="511"/>
      <c r="D383" s="512"/>
      <c r="E383" s="223"/>
      <c r="F383" s="223"/>
      <c r="G383" s="223">
        <f t="shared" si="72"/>
        <v>0</v>
      </c>
      <c r="H383" s="507" t="s">
        <v>267</v>
      </c>
      <c r="I383" s="145">
        <v>48000</v>
      </c>
      <c r="J383" s="159" t="s">
        <v>78</v>
      </c>
      <c r="K383" s="160" t="s">
        <v>106</v>
      </c>
      <c r="L383" s="504">
        <v>10</v>
      </c>
      <c r="M383" s="160" t="s">
        <v>269</v>
      </c>
      <c r="N383" s="504" t="s">
        <v>81</v>
      </c>
      <c r="O383" s="136">
        <f t="shared" ref="O383:O387" si="84">SUM(I383*L383)</f>
        <v>480000</v>
      </c>
    </row>
    <row r="384" spans="1:19" ht="14.1" customHeight="1" x14ac:dyDescent="0.15">
      <c r="A384" s="293"/>
      <c r="B384" s="293"/>
      <c r="C384" s="511"/>
      <c r="D384" s="512"/>
      <c r="E384" s="223"/>
      <c r="F384" s="223"/>
      <c r="G384" s="223"/>
      <c r="H384" s="508" t="s">
        <v>266</v>
      </c>
      <c r="I384" s="145">
        <v>200000</v>
      </c>
      <c r="J384" s="159" t="s">
        <v>78</v>
      </c>
      <c r="K384" s="160" t="s">
        <v>106</v>
      </c>
      <c r="L384" s="504">
        <v>20</v>
      </c>
      <c r="M384" s="160" t="s">
        <v>82</v>
      </c>
      <c r="N384" s="504" t="s">
        <v>81</v>
      </c>
      <c r="O384" s="136">
        <f t="shared" ref="O384" si="85">SUM(I384*L384)</f>
        <v>4000000</v>
      </c>
    </row>
    <row r="385" spans="1:17" ht="14.1" customHeight="1" x14ac:dyDescent="0.15">
      <c r="A385" s="293"/>
      <c r="B385" s="293"/>
      <c r="C385" s="511"/>
      <c r="D385" s="512"/>
      <c r="E385" s="223"/>
      <c r="F385" s="223"/>
      <c r="G385" s="223">
        <f t="shared" si="72"/>
        <v>0</v>
      </c>
      <c r="H385" s="508" t="s">
        <v>268</v>
      </c>
      <c r="I385" s="145">
        <v>4000000</v>
      </c>
      <c r="J385" s="159" t="s">
        <v>78</v>
      </c>
      <c r="K385" s="160" t="s">
        <v>106</v>
      </c>
      <c r="L385" s="504">
        <v>2</v>
      </c>
      <c r="M385" s="160" t="s">
        <v>82</v>
      </c>
      <c r="N385" s="504" t="s">
        <v>81</v>
      </c>
      <c r="O385" s="136">
        <f t="shared" si="84"/>
        <v>8000000</v>
      </c>
    </row>
    <row r="386" spans="1:17" ht="14.1" customHeight="1" x14ac:dyDescent="0.15">
      <c r="A386" s="293"/>
      <c r="B386" s="293"/>
      <c r="C386" s="511"/>
      <c r="D386" s="512"/>
      <c r="E386" s="223"/>
      <c r="F386" s="223"/>
      <c r="G386" s="223">
        <f t="shared" si="72"/>
        <v>0</v>
      </c>
      <c r="H386" s="507" t="s">
        <v>511</v>
      </c>
      <c r="I386" s="145">
        <v>0</v>
      </c>
      <c r="J386" s="159" t="s">
        <v>78</v>
      </c>
      <c r="K386" s="160" t="s">
        <v>106</v>
      </c>
      <c r="L386" s="504">
        <v>0</v>
      </c>
      <c r="M386" s="160" t="s">
        <v>87</v>
      </c>
      <c r="N386" s="504" t="s">
        <v>81</v>
      </c>
      <c r="O386" s="136">
        <f t="shared" si="84"/>
        <v>0</v>
      </c>
    </row>
    <row r="387" spans="1:17" ht="13.15" customHeight="1" x14ac:dyDescent="0.15">
      <c r="A387" s="293"/>
      <c r="B387" s="293"/>
      <c r="C387" s="497"/>
      <c r="D387" s="498"/>
      <c r="E387" s="322"/>
      <c r="F387" s="322"/>
      <c r="G387" s="322">
        <f t="shared" si="72"/>
        <v>0</v>
      </c>
      <c r="H387" s="146" t="s">
        <v>512</v>
      </c>
      <c r="I387" s="147">
        <v>550000</v>
      </c>
      <c r="J387" s="179" t="s">
        <v>78</v>
      </c>
      <c r="K387" s="180" t="s">
        <v>106</v>
      </c>
      <c r="L387" s="513">
        <v>2</v>
      </c>
      <c r="M387" s="180" t="s">
        <v>82</v>
      </c>
      <c r="N387" s="513" t="s">
        <v>81</v>
      </c>
      <c r="O387" s="142">
        <f t="shared" si="84"/>
        <v>1100000</v>
      </c>
    </row>
    <row r="388" spans="1:17" ht="13.15" customHeight="1" x14ac:dyDescent="0.15">
      <c r="A388" s="293"/>
      <c r="B388" s="293"/>
      <c r="C388" s="745" t="s">
        <v>54</v>
      </c>
      <c r="D388" s="746"/>
      <c r="E388" s="223">
        <v>1341615</v>
      </c>
      <c r="F388" s="223">
        <f>O388/1000</f>
        <v>1278067.8500000001</v>
      </c>
      <c r="G388" s="162">
        <f t="shared" si="72"/>
        <v>-63547.149999999907</v>
      </c>
      <c r="H388" s="505" t="s">
        <v>226</v>
      </c>
      <c r="I388" s="211"/>
      <c r="J388" s="212"/>
      <c r="K388" s="213"/>
      <c r="L388" s="214"/>
      <c r="M388" s="213"/>
      <c r="N388" s="214"/>
      <c r="O388" s="141">
        <f>SUM(O389,O394,O395,O401,O414)</f>
        <v>1278067850</v>
      </c>
      <c r="Q388" s="575" t="s">
        <v>340</v>
      </c>
    </row>
    <row r="389" spans="1:17" s="303" customFormat="1" ht="14.1" customHeight="1" x14ac:dyDescent="0.15">
      <c r="A389" s="293"/>
      <c r="B389" s="293"/>
      <c r="C389" s="511"/>
      <c r="D389" s="312"/>
      <c r="E389" s="223"/>
      <c r="F389" s="223"/>
      <c r="G389" s="223"/>
      <c r="H389" s="331" t="s">
        <v>292</v>
      </c>
      <c r="I389" s="348"/>
      <c r="J389" s="349"/>
      <c r="K389" s="350"/>
      <c r="L389" s="350"/>
      <c r="M389" s="350"/>
      <c r="N389" s="351"/>
      <c r="O389" s="143">
        <f>SUM(O390:O393)</f>
        <v>942246480</v>
      </c>
      <c r="P389" s="579"/>
      <c r="Q389" s="587">
        <f>O389-P389</f>
        <v>942246480</v>
      </c>
    </row>
    <row r="390" spans="1:17" s="303" customFormat="1" ht="14.1" customHeight="1" x14ac:dyDescent="0.15">
      <c r="A390" s="293"/>
      <c r="B390" s="293"/>
      <c r="C390" s="511"/>
      <c r="D390" s="312"/>
      <c r="E390" s="223"/>
      <c r="F390" s="223"/>
      <c r="G390" s="223"/>
      <c r="H390" s="507" t="s">
        <v>219</v>
      </c>
      <c r="I390" s="145">
        <v>8590</v>
      </c>
      <c r="J390" s="217">
        <v>314</v>
      </c>
      <c r="K390" s="217">
        <v>3</v>
      </c>
      <c r="L390" s="217"/>
      <c r="M390" s="217">
        <v>8</v>
      </c>
      <c r="N390" s="139" t="s">
        <v>394</v>
      </c>
      <c r="O390" s="136">
        <f t="shared" ref="O390" si="86">SUM(I390*J390*K390*M390)</f>
        <v>64734240</v>
      </c>
      <c r="P390" s="579"/>
      <c r="Q390" s="587">
        <f>O390-P390</f>
        <v>64734240</v>
      </c>
    </row>
    <row r="391" spans="1:17" s="303" customFormat="1" ht="14.1" customHeight="1" x14ac:dyDescent="0.15">
      <c r="A391" s="293"/>
      <c r="B391" s="293"/>
      <c r="C391" s="511"/>
      <c r="D391" s="312"/>
      <c r="E391" s="223"/>
      <c r="F391" s="223"/>
      <c r="G391" s="223"/>
      <c r="H391" s="507" t="s">
        <v>220</v>
      </c>
      <c r="I391" s="145">
        <v>8590</v>
      </c>
      <c r="J391" s="217">
        <v>314</v>
      </c>
      <c r="K391" s="217">
        <v>52</v>
      </c>
      <c r="L391" s="217"/>
      <c r="M391" s="217">
        <v>6</v>
      </c>
      <c r="N391" s="139" t="s">
        <v>394</v>
      </c>
      <c r="O391" s="136">
        <f>SUM(I391*J391*K391*M391)</f>
        <v>841545120</v>
      </c>
      <c r="P391" s="579"/>
      <c r="Q391" s="587">
        <f>O391-P391</f>
        <v>841545120</v>
      </c>
    </row>
    <row r="392" spans="1:17" s="303" customFormat="1" ht="14.1" customHeight="1" x14ac:dyDescent="0.15">
      <c r="A392" s="293"/>
      <c r="B392" s="293"/>
      <c r="C392" s="511"/>
      <c r="D392" s="312"/>
      <c r="E392" s="223"/>
      <c r="F392" s="223"/>
      <c r="G392" s="223"/>
      <c r="H392" s="507" t="s">
        <v>396</v>
      </c>
      <c r="I392" s="145">
        <v>8590</v>
      </c>
      <c r="J392" s="217">
        <v>314</v>
      </c>
      <c r="K392" s="217">
        <v>2</v>
      </c>
      <c r="L392" s="217"/>
      <c r="M392" s="217">
        <v>6</v>
      </c>
      <c r="N392" s="139" t="s">
        <v>394</v>
      </c>
      <c r="O392" s="136">
        <f>SUM(I392*J392*K392*M392)</f>
        <v>32367120</v>
      </c>
      <c r="P392" s="579"/>
      <c r="Q392" s="587"/>
    </row>
    <row r="393" spans="1:17" s="303" customFormat="1" ht="14.1" customHeight="1" x14ac:dyDescent="0.15">
      <c r="A393" s="293"/>
      <c r="B393" s="293"/>
      <c r="C393" s="511"/>
      <c r="D393" s="312"/>
      <c r="E393" s="223"/>
      <c r="F393" s="223"/>
      <c r="G393" s="223"/>
      <c r="H393" s="507" t="s">
        <v>513</v>
      </c>
      <c r="I393" s="145">
        <v>100000</v>
      </c>
      <c r="J393" s="137" t="s">
        <v>100</v>
      </c>
      <c r="K393" s="140">
        <v>3</v>
      </c>
      <c r="L393" s="139" t="s">
        <v>102</v>
      </c>
      <c r="M393" s="140">
        <v>12</v>
      </c>
      <c r="N393" s="139" t="s">
        <v>105</v>
      </c>
      <c r="O393" s="136">
        <f t="shared" ref="O393" si="87">SUM(I393*K393*M393)</f>
        <v>3600000</v>
      </c>
      <c r="P393" s="579"/>
      <c r="Q393" s="587"/>
    </row>
    <row r="394" spans="1:17" ht="14.25" customHeight="1" x14ac:dyDescent="0.15">
      <c r="A394" s="293"/>
      <c r="B394" s="293"/>
      <c r="C394" s="511"/>
      <c r="D394" s="512"/>
      <c r="E394" s="223"/>
      <c r="F394" s="223"/>
      <c r="G394" s="223"/>
      <c r="H394" s="331" t="s">
        <v>290</v>
      </c>
      <c r="I394" s="348">
        <f>O390+O391</f>
        <v>906279360</v>
      </c>
      <c r="J394" s="349" t="s">
        <v>78</v>
      </c>
      <c r="K394" s="352" t="s">
        <v>106</v>
      </c>
      <c r="L394" s="788">
        <v>0.08</v>
      </c>
      <c r="M394" s="789"/>
      <c r="N394" s="353" t="s">
        <v>103</v>
      </c>
      <c r="O394" s="143">
        <f>ROUNDDOWN(I394*L394, -1)</f>
        <v>72502340</v>
      </c>
    </row>
    <row r="395" spans="1:17" ht="14.25" customHeight="1" x14ac:dyDescent="0.15">
      <c r="A395" s="293"/>
      <c r="B395" s="293"/>
      <c r="C395" s="501"/>
      <c r="D395" s="502"/>
      <c r="E395" s="295"/>
      <c r="F395" s="295"/>
      <c r="G395" s="295"/>
      <c r="H395" s="331" t="s">
        <v>291</v>
      </c>
      <c r="I395" s="348"/>
      <c r="J395" s="349"/>
      <c r="K395" s="350"/>
      <c r="L395" s="350"/>
      <c r="M395" s="350"/>
      <c r="N395" s="351"/>
      <c r="O395" s="143">
        <f>SUM(O396,O397:O400)</f>
        <v>96880530</v>
      </c>
    </row>
    <row r="396" spans="1:17" ht="14.25" customHeight="1" x14ac:dyDescent="0.15">
      <c r="A396" s="293"/>
      <c r="B396" s="293"/>
      <c r="C396" s="511"/>
      <c r="D396" s="512"/>
      <c r="E396" s="223"/>
      <c r="F396" s="223"/>
      <c r="G396" s="223"/>
      <c r="H396" s="337" t="s">
        <v>116</v>
      </c>
      <c r="I396" s="192">
        <f>SUM(I394)</f>
        <v>906279360</v>
      </c>
      <c r="J396" s="193" t="s">
        <v>78</v>
      </c>
      <c r="K396" s="194" t="s">
        <v>106</v>
      </c>
      <c r="L396" s="759">
        <v>3.2300000000000002E-2</v>
      </c>
      <c r="M396" s="759"/>
      <c r="N396" s="503" t="s">
        <v>81</v>
      </c>
      <c r="O396" s="196">
        <f>ROUNDDOWN(I396*L396, -1)</f>
        <v>29272820</v>
      </c>
    </row>
    <row r="397" spans="1:17" ht="14.25" customHeight="1" x14ac:dyDescent="0.15">
      <c r="A397" s="293"/>
      <c r="B397" s="293"/>
      <c r="C397" s="511"/>
      <c r="D397" s="512"/>
      <c r="E397" s="223"/>
      <c r="F397" s="223"/>
      <c r="G397" s="223"/>
      <c r="H397" s="508" t="s">
        <v>118</v>
      </c>
      <c r="I397" s="145">
        <f>SUM(O396)</f>
        <v>29272820</v>
      </c>
      <c r="J397" s="159" t="s">
        <v>78</v>
      </c>
      <c r="K397" s="160" t="s">
        <v>104</v>
      </c>
      <c r="L397" s="771">
        <v>6.5000000000000002E-2</v>
      </c>
      <c r="M397" s="771"/>
      <c r="N397" s="504" t="s">
        <v>81</v>
      </c>
      <c r="O397" s="136">
        <f>ROUNDDOWN(I397*L397, -1)-660+250+150</f>
        <v>1902470</v>
      </c>
    </row>
    <row r="398" spans="1:17" ht="14.25" customHeight="1" x14ac:dyDescent="0.15">
      <c r="A398" s="293"/>
      <c r="B398" s="293"/>
      <c r="C398" s="511"/>
      <c r="D398" s="512"/>
      <c r="E398" s="223"/>
      <c r="F398" s="223"/>
      <c r="G398" s="223"/>
      <c r="H398" s="337" t="s">
        <v>120</v>
      </c>
      <c r="I398" s="192">
        <f>SUM(I394)</f>
        <v>906279360</v>
      </c>
      <c r="J398" s="193" t="s">
        <v>78</v>
      </c>
      <c r="K398" s="194" t="s">
        <v>106</v>
      </c>
      <c r="L398" s="759">
        <v>5.5E-2</v>
      </c>
      <c r="M398" s="759"/>
      <c r="N398" s="503" t="s">
        <v>81</v>
      </c>
      <c r="O398" s="196">
        <f>ROUNDDOWN(I398*L398, -1)</f>
        <v>49845360</v>
      </c>
    </row>
    <row r="399" spans="1:17" ht="14.25" customHeight="1" x14ac:dyDescent="0.15">
      <c r="A399" s="293"/>
      <c r="B399" s="293"/>
      <c r="C399" s="511"/>
      <c r="D399" s="512"/>
      <c r="E399" s="223"/>
      <c r="F399" s="223"/>
      <c r="G399" s="223"/>
      <c r="H399" s="337" t="s">
        <v>122</v>
      </c>
      <c r="I399" s="192">
        <f>SUM(I398)</f>
        <v>906279360</v>
      </c>
      <c r="J399" s="193" t="s">
        <v>78</v>
      </c>
      <c r="K399" s="194" t="s">
        <v>106</v>
      </c>
      <c r="L399" s="759">
        <v>9.4999999999999998E-3</v>
      </c>
      <c r="M399" s="759"/>
      <c r="N399" s="503" t="s">
        <v>81</v>
      </c>
      <c r="O399" s="196">
        <f>ROUNDDOWN(I399*L399, -1)</f>
        <v>8609650</v>
      </c>
    </row>
    <row r="400" spans="1:17" ht="14.25" customHeight="1" x14ac:dyDescent="0.15">
      <c r="A400" s="293"/>
      <c r="B400" s="293"/>
      <c r="C400" s="511"/>
      <c r="D400" s="512"/>
      <c r="E400" s="223"/>
      <c r="F400" s="223"/>
      <c r="G400" s="223"/>
      <c r="H400" s="146" t="s">
        <v>124</v>
      </c>
      <c r="I400" s="147">
        <f>SUM(I399)</f>
        <v>906279360</v>
      </c>
      <c r="J400" s="179" t="s">
        <v>78</v>
      </c>
      <c r="K400" s="180" t="s">
        <v>106</v>
      </c>
      <c r="L400" s="778">
        <v>8.0000000000000002E-3</v>
      </c>
      <c r="M400" s="778"/>
      <c r="N400" s="513" t="s">
        <v>81</v>
      </c>
      <c r="O400" s="142">
        <f>ROUNDDOWN(I400*L400, -1)</f>
        <v>7250230</v>
      </c>
    </row>
    <row r="401" spans="1:17" s="340" customFormat="1" ht="14.25" customHeight="1" x14ac:dyDescent="0.15">
      <c r="A401" s="511"/>
      <c r="B401" s="293"/>
      <c r="C401" s="511"/>
      <c r="D401" s="512"/>
      <c r="E401" s="223"/>
      <c r="F401" s="223"/>
      <c r="G401" s="223"/>
      <c r="H401" s="505" t="s">
        <v>289</v>
      </c>
      <c r="I401" s="211"/>
      <c r="J401" s="212"/>
      <c r="K401" s="213"/>
      <c r="L401" s="214"/>
      <c r="M401" s="213"/>
      <c r="N401" s="214"/>
      <c r="O401" s="141">
        <f>SUM(O402,O405:O413)</f>
        <v>87550000</v>
      </c>
      <c r="P401" s="582"/>
      <c r="Q401" s="574"/>
    </row>
    <row r="402" spans="1:17" s="340" customFormat="1" ht="14.25" customHeight="1" x14ac:dyDescent="0.15">
      <c r="A402" s="511"/>
      <c r="B402" s="293"/>
      <c r="C402" s="312"/>
      <c r="D402" s="512"/>
      <c r="E402" s="223"/>
      <c r="F402" s="223"/>
      <c r="G402" s="223">
        <f t="shared" ref="G402:G404" si="88">F402-E402</f>
        <v>0</v>
      </c>
      <c r="H402" s="507" t="s">
        <v>126</v>
      </c>
      <c r="I402" s="145"/>
      <c r="J402" s="137"/>
      <c r="K402" s="140"/>
      <c r="L402" s="139"/>
      <c r="M402" s="140"/>
      <c r="N402" s="139"/>
      <c r="O402" s="136">
        <f>SUM(O403:O404)</f>
        <v>11000000</v>
      </c>
      <c r="P402" s="582"/>
      <c r="Q402" s="574"/>
    </row>
    <row r="403" spans="1:17" s="340" customFormat="1" ht="14.25" customHeight="1" x14ac:dyDescent="0.15">
      <c r="A403" s="511"/>
      <c r="B403" s="293"/>
      <c r="C403" s="312"/>
      <c r="D403" s="512"/>
      <c r="E403" s="223"/>
      <c r="F403" s="223"/>
      <c r="G403" s="223">
        <f t="shared" si="88"/>
        <v>0</v>
      </c>
      <c r="H403" s="507" t="s">
        <v>294</v>
      </c>
      <c r="I403" s="145">
        <v>100000</v>
      </c>
      <c r="J403" s="137" t="s">
        <v>100</v>
      </c>
      <c r="K403" s="140">
        <v>3</v>
      </c>
      <c r="L403" s="139" t="s">
        <v>102</v>
      </c>
      <c r="M403" s="140">
        <v>2</v>
      </c>
      <c r="N403" s="139" t="s">
        <v>105</v>
      </c>
      <c r="O403" s="136">
        <f t="shared" ref="O403:O405" si="89">SUM(I403*K403*M403)</f>
        <v>600000</v>
      </c>
      <c r="P403" s="582"/>
      <c r="Q403" s="574"/>
    </row>
    <row r="404" spans="1:17" s="340" customFormat="1" ht="14.25" customHeight="1" x14ac:dyDescent="0.15">
      <c r="A404" s="511"/>
      <c r="B404" s="293"/>
      <c r="C404" s="312"/>
      <c r="D404" s="512"/>
      <c r="E404" s="223"/>
      <c r="F404" s="223"/>
      <c r="G404" s="223">
        <f t="shared" si="88"/>
        <v>0</v>
      </c>
      <c r="H404" s="507" t="s">
        <v>295</v>
      </c>
      <c r="I404" s="145">
        <v>100000</v>
      </c>
      <c r="J404" s="137" t="s">
        <v>100</v>
      </c>
      <c r="K404" s="140">
        <v>52</v>
      </c>
      <c r="L404" s="139" t="s">
        <v>102</v>
      </c>
      <c r="M404" s="140">
        <v>2</v>
      </c>
      <c r="N404" s="139" t="s">
        <v>105</v>
      </c>
      <c r="O404" s="136">
        <f t="shared" si="89"/>
        <v>10400000</v>
      </c>
      <c r="P404" s="582"/>
      <c r="Q404" s="574"/>
    </row>
    <row r="405" spans="1:17" s="340" customFormat="1" ht="14.25" customHeight="1" x14ac:dyDescent="0.15">
      <c r="A405" s="511"/>
      <c r="B405" s="293"/>
      <c r="C405" s="312"/>
      <c r="D405" s="512"/>
      <c r="E405" s="223"/>
      <c r="F405" s="223"/>
      <c r="G405" s="223"/>
      <c r="H405" s="507" t="s">
        <v>543</v>
      </c>
      <c r="I405" s="145">
        <v>2500</v>
      </c>
      <c r="J405" s="137" t="s">
        <v>100</v>
      </c>
      <c r="K405" s="138" t="s">
        <v>296</v>
      </c>
      <c r="L405" s="139" t="s">
        <v>102</v>
      </c>
      <c r="M405" s="140">
        <v>240</v>
      </c>
      <c r="N405" s="139" t="s">
        <v>128</v>
      </c>
      <c r="O405" s="136">
        <f t="shared" si="89"/>
        <v>33000000</v>
      </c>
      <c r="P405" s="582"/>
      <c r="Q405" s="574"/>
    </row>
    <row r="406" spans="1:17" s="340" customFormat="1" ht="14.25" customHeight="1" x14ac:dyDescent="0.15">
      <c r="A406" s="511"/>
      <c r="B406" s="293"/>
      <c r="C406" s="312"/>
      <c r="D406" s="512"/>
      <c r="E406" s="223"/>
      <c r="F406" s="223"/>
      <c r="G406" s="223"/>
      <c r="H406" s="508" t="s">
        <v>324</v>
      </c>
      <c r="I406" s="145">
        <v>3000000</v>
      </c>
      <c r="J406" s="137" t="s">
        <v>78</v>
      </c>
      <c r="K406" s="160" t="s">
        <v>106</v>
      </c>
      <c r="L406" s="504">
        <v>2</v>
      </c>
      <c r="M406" s="160" t="s">
        <v>82</v>
      </c>
      <c r="N406" s="504" t="s">
        <v>81</v>
      </c>
      <c r="O406" s="136">
        <f t="shared" ref="O406:O408" si="90">SUM(I406*L406)</f>
        <v>6000000</v>
      </c>
      <c r="P406" s="582"/>
      <c r="Q406" s="574"/>
    </row>
    <row r="407" spans="1:17" ht="14.25" customHeight="1" x14ac:dyDescent="0.15">
      <c r="A407" s="293"/>
      <c r="B407" s="341"/>
      <c r="C407" s="511"/>
      <c r="D407" s="512"/>
      <c r="E407" s="223"/>
      <c r="F407" s="223"/>
      <c r="G407" s="223" t="s">
        <v>251</v>
      </c>
      <c r="H407" s="507" t="s">
        <v>258</v>
      </c>
      <c r="I407" s="145">
        <v>200000</v>
      </c>
      <c r="J407" s="137" t="s">
        <v>78</v>
      </c>
      <c r="K407" s="160" t="s">
        <v>106</v>
      </c>
      <c r="L407" s="504">
        <v>6</v>
      </c>
      <c r="M407" s="160" t="s">
        <v>80</v>
      </c>
      <c r="N407" s="504" t="s">
        <v>81</v>
      </c>
      <c r="O407" s="136">
        <f t="shared" si="90"/>
        <v>1200000</v>
      </c>
    </row>
    <row r="408" spans="1:17" ht="14.25" customHeight="1" x14ac:dyDescent="0.15">
      <c r="A408" s="511"/>
      <c r="B408" s="501"/>
      <c r="C408" s="511"/>
      <c r="D408" s="512"/>
      <c r="E408" s="223"/>
      <c r="F408" s="223"/>
      <c r="G408" s="223"/>
      <c r="H408" s="508" t="s">
        <v>259</v>
      </c>
      <c r="I408" s="145">
        <v>80000</v>
      </c>
      <c r="J408" s="137" t="s">
        <v>78</v>
      </c>
      <c r="K408" s="160" t="s">
        <v>106</v>
      </c>
      <c r="L408" s="504">
        <v>100</v>
      </c>
      <c r="M408" s="160" t="s">
        <v>87</v>
      </c>
      <c r="N408" s="504" t="s">
        <v>81</v>
      </c>
      <c r="O408" s="136">
        <f t="shared" si="90"/>
        <v>8000000</v>
      </c>
    </row>
    <row r="409" spans="1:17" s="340" customFormat="1" ht="14.25" customHeight="1" x14ac:dyDescent="0.15">
      <c r="A409" s="511"/>
      <c r="B409" s="511"/>
      <c r="C409" s="511"/>
      <c r="D409" s="512"/>
      <c r="E409" s="223"/>
      <c r="F409" s="223"/>
      <c r="G409" s="223">
        <f t="shared" ref="G409:G413" si="91">F409-E409</f>
        <v>0</v>
      </c>
      <c r="H409" s="508" t="s">
        <v>252</v>
      </c>
      <c r="I409" s="145">
        <v>30000</v>
      </c>
      <c r="J409" s="137" t="s">
        <v>100</v>
      </c>
      <c r="K409" s="140">
        <v>55</v>
      </c>
      <c r="L409" s="139" t="s">
        <v>102</v>
      </c>
      <c r="M409" s="140">
        <v>2</v>
      </c>
      <c r="N409" s="139" t="s">
        <v>105</v>
      </c>
      <c r="O409" s="136">
        <f t="shared" ref="O409" si="92">SUM(I409*K409*M409)</f>
        <v>3300000</v>
      </c>
      <c r="P409" s="582"/>
      <c r="Q409" s="574"/>
    </row>
    <row r="410" spans="1:17" s="340" customFormat="1" ht="14.25" customHeight="1" x14ac:dyDescent="0.15">
      <c r="A410" s="511"/>
      <c r="B410" s="511"/>
      <c r="C410" s="511"/>
      <c r="D410" s="512"/>
      <c r="E410" s="223"/>
      <c r="F410" s="223"/>
      <c r="G410" s="223">
        <f t="shared" si="91"/>
        <v>0</v>
      </c>
      <c r="H410" s="508" t="s">
        <v>127</v>
      </c>
      <c r="I410" s="145">
        <v>60000</v>
      </c>
      <c r="J410" s="137" t="s">
        <v>78</v>
      </c>
      <c r="K410" s="160" t="s">
        <v>106</v>
      </c>
      <c r="L410" s="504">
        <v>5</v>
      </c>
      <c r="M410" s="160" t="s">
        <v>82</v>
      </c>
      <c r="N410" s="504" t="s">
        <v>81</v>
      </c>
      <c r="O410" s="136">
        <f t="shared" ref="O410:O413" si="93">SUM(I410*L410)</f>
        <v>300000</v>
      </c>
      <c r="P410" s="582"/>
      <c r="Q410" s="574"/>
    </row>
    <row r="411" spans="1:17" s="340" customFormat="1" ht="14.25" customHeight="1" x14ac:dyDescent="0.15">
      <c r="A411" s="511"/>
      <c r="B411" s="511"/>
      <c r="C411" s="511"/>
      <c r="D411" s="512"/>
      <c r="E411" s="223"/>
      <c r="F411" s="223"/>
      <c r="G411" s="223">
        <f t="shared" si="91"/>
        <v>0</v>
      </c>
      <c r="H411" s="508" t="s">
        <v>507</v>
      </c>
      <c r="I411" s="145">
        <v>5000000</v>
      </c>
      <c r="J411" s="137" t="s">
        <v>78</v>
      </c>
      <c r="K411" s="160" t="s">
        <v>106</v>
      </c>
      <c r="L411" s="504">
        <v>1</v>
      </c>
      <c r="M411" s="160" t="s">
        <v>82</v>
      </c>
      <c r="N411" s="504" t="s">
        <v>81</v>
      </c>
      <c r="O411" s="136">
        <f t="shared" si="93"/>
        <v>5000000</v>
      </c>
      <c r="P411" s="582"/>
      <c r="Q411" s="574"/>
    </row>
    <row r="412" spans="1:17" s="340" customFormat="1" ht="14.25" customHeight="1" x14ac:dyDescent="0.15">
      <c r="A412" s="511"/>
      <c r="B412" s="511"/>
      <c r="C412" s="511"/>
      <c r="D412" s="512"/>
      <c r="E412" s="223"/>
      <c r="F412" s="223"/>
      <c r="G412" s="223"/>
      <c r="H412" s="508" t="s">
        <v>415</v>
      </c>
      <c r="I412" s="145">
        <v>250000</v>
      </c>
      <c r="J412" s="137" t="s">
        <v>78</v>
      </c>
      <c r="K412" s="160" t="s">
        <v>106</v>
      </c>
      <c r="L412" s="504">
        <v>55</v>
      </c>
      <c r="M412" s="160" t="s">
        <v>87</v>
      </c>
      <c r="N412" s="504" t="s">
        <v>81</v>
      </c>
      <c r="O412" s="136">
        <f t="shared" ref="O412" si="94">SUM(I412*L412)</f>
        <v>13750000</v>
      </c>
      <c r="P412" s="582"/>
      <c r="Q412" s="574"/>
    </row>
    <row r="413" spans="1:17" s="340" customFormat="1" ht="14.25" customHeight="1" x14ac:dyDescent="0.15">
      <c r="A413" s="511"/>
      <c r="B413" s="511"/>
      <c r="C413" s="511"/>
      <c r="D413" s="512"/>
      <c r="E413" s="223"/>
      <c r="F413" s="223"/>
      <c r="G413" s="223">
        <f t="shared" si="91"/>
        <v>0</v>
      </c>
      <c r="H413" s="227" t="s">
        <v>321</v>
      </c>
      <c r="I413" s="147">
        <v>6000000</v>
      </c>
      <c r="J413" s="148" t="s">
        <v>78</v>
      </c>
      <c r="K413" s="180" t="s">
        <v>106</v>
      </c>
      <c r="L413" s="513">
        <v>1</v>
      </c>
      <c r="M413" s="180" t="s">
        <v>82</v>
      </c>
      <c r="N413" s="513" t="s">
        <v>81</v>
      </c>
      <c r="O413" s="142">
        <f t="shared" si="93"/>
        <v>6000000</v>
      </c>
      <c r="P413" s="582"/>
      <c r="Q413" s="574"/>
    </row>
    <row r="414" spans="1:17" s="340" customFormat="1" ht="14.25" customHeight="1" x14ac:dyDescent="0.15">
      <c r="A414" s="511"/>
      <c r="B414" s="511"/>
      <c r="C414" s="511"/>
      <c r="D414" s="512"/>
      <c r="E414" s="223"/>
      <c r="F414" s="223"/>
      <c r="G414" s="223"/>
      <c r="H414" s="505" t="s">
        <v>293</v>
      </c>
      <c r="I414" s="211"/>
      <c r="J414" s="212"/>
      <c r="K414" s="213"/>
      <c r="L414" s="214"/>
      <c r="M414" s="213"/>
      <c r="N414" s="214"/>
      <c r="O414" s="141">
        <f>SUM(O415,O419,O431)</f>
        <v>78888500</v>
      </c>
      <c r="P414" s="582"/>
      <c r="Q414" s="574"/>
    </row>
    <row r="415" spans="1:17" ht="13.15" customHeight="1" x14ac:dyDescent="0.15">
      <c r="A415" s="293"/>
      <c r="B415" s="293"/>
      <c r="C415" s="511"/>
      <c r="D415" s="512"/>
      <c r="E415" s="223"/>
      <c r="F415" s="223"/>
      <c r="G415" s="223">
        <f t="shared" si="72"/>
        <v>0</v>
      </c>
      <c r="H415" s="506" t="s">
        <v>227</v>
      </c>
      <c r="I415" s="211"/>
      <c r="J415" s="218"/>
      <c r="K415" s="324"/>
      <c r="L415" s="318"/>
      <c r="M415" s="325"/>
      <c r="N415" s="318"/>
      <c r="O415" s="141">
        <f>SUM(O416:O418)</f>
        <v>40000</v>
      </c>
    </row>
    <row r="416" spans="1:17" ht="13.15" customHeight="1" x14ac:dyDescent="0.15">
      <c r="A416" s="293"/>
      <c r="B416" s="293"/>
      <c r="C416" s="511"/>
      <c r="D416" s="512"/>
      <c r="E416" s="223"/>
      <c r="F416" s="223"/>
      <c r="G416" s="223">
        <f t="shared" si="72"/>
        <v>0</v>
      </c>
      <c r="H416" s="507" t="s">
        <v>228</v>
      </c>
      <c r="I416" s="145"/>
      <c r="J416" s="137" t="s">
        <v>239</v>
      </c>
      <c r="K416" s="160" t="s">
        <v>106</v>
      </c>
      <c r="L416" s="504"/>
      <c r="M416" s="160" t="s">
        <v>242</v>
      </c>
      <c r="N416" s="504" t="s">
        <v>240</v>
      </c>
      <c r="O416" s="136">
        <f>SUM(I416*L416)</f>
        <v>0</v>
      </c>
    </row>
    <row r="417" spans="1:15" ht="13.15" customHeight="1" x14ac:dyDescent="0.15">
      <c r="A417" s="293"/>
      <c r="B417" s="293"/>
      <c r="C417" s="511"/>
      <c r="D417" s="512"/>
      <c r="E417" s="223"/>
      <c r="F417" s="223"/>
      <c r="G417" s="223">
        <f t="shared" si="72"/>
        <v>0</v>
      </c>
      <c r="H417" s="507" t="s">
        <v>229</v>
      </c>
      <c r="I417" s="145"/>
      <c r="J417" s="137" t="s">
        <v>239</v>
      </c>
      <c r="K417" s="160" t="s">
        <v>106</v>
      </c>
      <c r="L417" s="504"/>
      <c r="M417" s="160" t="s">
        <v>242</v>
      </c>
      <c r="N417" s="504" t="s">
        <v>240</v>
      </c>
      <c r="O417" s="136">
        <f>SUM(I417*L417)</f>
        <v>0</v>
      </c>
    </row>
    <row r="418" spans="1:15" ht="13.15" customHeight="1" x14ac:dyDescent="0.15">
      <c r="A418" s="293"/>
      <c r="B418" s="293"/>
      <c r="C418" s="511"/>
      <c r="D418" s="512"/>
      <c r="E418" s="223"/>
      <c r="F418" s="223"/>
      <c r="G418" s="223">
        <f t="shared" si="72"/>
        <v>0</v>
      </c>
      <c r="H418" s="507" t="s">
        <v>255</v>
      </c>
      <c r="I418" s="145">
        <v>40000</v>
      </c>
      <c r="J418" s="137" t="s">
        <v>239</v>
      </c>
      <c r="K418" s="160" t="s">
        <v>106</v>
      </c>
      <c r="L418" s="504">
        <v>1</v>
      </c>
      <c r="M418" s="160" t="s">
        <v>242</v>
      </c>
      <c r="N418" s="504" t="s">
        <v>240</v>
      </c>
      <c r="O418" s="136">
        <f>SUM(I418*L418)</f>
        <v>40000</v>
      </c>
    </row>
    <row r="419" spans="1:15" ht="13.15" customHeight="1" x14ac:dyDescent="0.15">
      <c r="A419" s="293"/>
      <c r="B419" s="293"/>
      <c r="C419" s="511"/>
      <c r="D419" s="512"/>
      <c r="E419" s="223"/>
      <c r="F419" s="223"/>
      <c r="G419" s="223">
        <f t="shared" si="72"/>
        <v>0</v>
      </c>
      <c r="H419" s="506" t="s">
        <v>230</v>
      </c>
      <c r="I419" s="211"/>
      <c r="J419" s="218"/>
      <c r="K419" s="213"/>
      <c r="L419" s="214"/>
      <c r="M419" s="213"/>
      <c r="N419" s="214"/>
      <c r="O419" s="141">
        <f>SUM(O420:O430)</f>
        <v>12990000</v>
      </c>
    </row>
    <row r="420" spans="1:15" ht="13.15" customHeight="1" x14ac:dyDescent="0.15">
      <c r="A420" s="293"/>
      <c r="B420" s="293"/>
      <c r="C420" s="511"/>
      <c r="D420" s="512"/>
      <c r="E420" s="223"/>
      <c r="F420" s="223"/>
      <c r="G420" s="223">
        <f t="shared" si="72"/>
        <v>0</v>
      </c>
      <c r="H420" s="508" t="s">
        <v>231</v>
      </c>
      <c r="I420" s="145">
        <v>1000000</v>
      </c>
      <c r="J420" s="159" t="s">
        <v>241</v>
      </c>
      <c r="K420" s="160" t="s">
        <v>106</v>
      </c>
      <c r="L420" s="504">
        <v>2</v>
      </c>
      <c r="M420" s="160" t="s">
        <v>243</v>
      </c>
      <c r="N420" s="504" t="s">
        <v>240</v>
      </c>
      <c r="O420" s="136">
        <f t="shared" ref="O420:O430" si="95">SUM(I420*L420)</f>
        <v>2000000</v>
      </c>
    </row>
    <row r="421" spans="1:15" ht="13.15" customHeight="1" x14ac:dyDescent="0.15">
      <c r="A421" s="293"/>
      <c r="B421" s="293"/>
      <c r="C421" s="511"/>
      <c r="D421" s="512"/>
      <c r="E421" s="223"/>
      <c r="F421" s="223"/>
      <c r="G421" s="223">
        <f t="shared" si="72"/>
        <v>0</v>
      </c>
      <c r="H421" s="508" t="s">
        <v>232</v>
      </c>
      <c r="I421" s="145">
        <v>50000</v>
      </c>
      <c r="J421" s="159" t="s">
        <v>241</v>
      </c>
      <c r="K421" s="160" t="s">
        <v>106</v>
      </c>
      <c r="L421" s="504">
        <v>3</v>
      </c>
      <c r="M421" s="160" t="s">
        <v>244</v>
      </c>
      <c r="N421" s="504" t="s">
        <v>240</v>
      </c>
      <c r="O421" s="136">
        <f t="shared" si="95"/>
        <v>150000</v>
      </c>
    </row>
    <row r="422" spans="1:15" ht="13.15" customHeight="1" x14ac:dyDescent="0.15">
      <c r="A422" s="293"/>
      <c r="B422" s="293"/>
      <c r="C422" s="511"/>
      <c r="D422" s="512"/>
      <c r="E422" s="223"/>
      <c r="F422" s="223"/>
      <c r="G422" s="223"/>
      <c r="H422" s="508" t="s">
        <v>331</v>
      </c>
      <c r="I422" s="145">
        <v>40000</v>
      </c>
      <c r="J422" s="159" t="s">
        <v>241</v>
      </c>
      <c r="K422" s="160" t="s">
        <v>106</v>
      </c>
      <c r="L422" s="504">
        <v>6</v>
      </c>
      <c r="M422" s="160" t="s">
        <v>82</v>
      </c>
      <c r="N422" s="504" t="s">
        <v>240</v>
      </c>
      <c r="O422" s="136">
        <f t="shared" si="95"/>
        <v>240000</v>
      </c>
    </row>
    <row r="423" spans="1:15" ht="13.15" customHeight="1" x14ac:dyDescent="0.15">
      <c r="A423" s="293"/>
      <c r="B423" s="293"/>
      <c r="C423" s="511"/>
      <c r="D423" s="512"/>
      <c r="E423" s="223"/>
      <c r="F423" s="223"/>
      <c r="G423" s="223"/>
      <c r="H423" s="508" t="s">
        <v>271</v>
      </c>
      <c r="I423" s="145">
        <v>6000000</v>
      </c>
      <c r="J423" s="159" t="s">
        <v>241</v>
      </c>
      <c r="K423" s="160" t="s">
        <v>106</v>
      </c>
      <c r="L423" s="504">
        <v>1</v>
      </c>
      <c r="M423" s="160" t="s">
        <v>283</v>
      </c>
      <c r="N423" s="504" t="s">
        <v>240</v>
      </c>
      <c r="O423" s="136">
        <f t="shared" ref="O423" si="96">SUM(I423*L423)</f>
        <v>6000000</v>
      </c>
    </row>
    <row r="424" spans="1:15" ht="13.15" customHeight="1" x14ac:dyDescent="0.15">
      <c r="A424" s="293"/>
      <c r="B424" s="293"/>
      <c r="C424" s="511"/>
      <c r="D424" s="512"/>
      <c r="E424" s="223"/>
      <c r="F424" s="223"/>
      <c r="G424" s="223">
        <f t="shared" si="72"/>
        <v>0</v>
      </c>
      <c r="H424" s="508" t="s">
        <v>233</v>
      </c>
      <c r="I424" s="145">
        <v>100000</v>
      </c>
      <c r="J424" s="159" t="s">
        <v>241</v>
      </c>
      <c r="K424" s="160" t="s">
        <v>106</v>
      </c>
      <c r="L424" s="504">
        <v>24</v>
      </c>
      <c r="M424" s="160" t="s">
        <v>242</v>
      </c>
      <c r="N424" s="504" t="s">
        <v>240</v>
      </c>
      <c r="O424" s="136">
        <f t="shared" si="95"/>
        <v>2400000</v>
      </c>
    </row>
    <row r="425" spans="1:15" ht="13.15" customHeight="1" x14ac:dyDescent="0.15">
      <c r="A425" s="293"/>
      <c r="B425" s="293"/>
      <c r="C425" s="511"/>
      <c r="D425" s="512"/>
      <c r="E425" s="223"/>
      <c r="F425" s="223"/>
      <c r="G425" s="223">
        <f t="shared" si="72"/>
        <v>0</v>
      </c>
      <c r="H425" s="507" t="s">
        <v>234</v>
      </c>
      <c r="I425" s="145">
        <v>220000</v>
      </c>
      <c r="J425" s="137" t="s">
        <v>239</v>
      </c>
      <c r="K425" s="160" t="s">
        <v>106</v>
      </c>
      <c r="L425" s="504">
        <v>1</v>
      </c>
      <c r="M425" s="160" t="s">
        <v>242</v>
      </c>
      <c r="N425" s="504" t="s">
        <v>240</v>
      </c>
      <c r="O425" s="136">
        <f t="shared" si="95"/>
        <v>220000</v>
      </c>
    </row>
    <row r="426" spans="1:15" ht="13.15" customHeight="1" x14ac:dyDescent="0.15">
      <c r="A426" s="293"/>
      <c r="B426" s="293"/>
      <c r="C426" s="511"/>
      <c r="D426" s="512"/>
      <c r="E426" s="223"/>
      <c r="F426" s="223"/>
      <c r="G426" s="223"/>
      <c r="H426" s="507" t="s">
        <v>332</v>
      </c>
      <c r="I426" s="145">
        <v>200000</v>
      </c>
      <c r="J426" s="137" t="s">
        <v>239</v>
      </c>
      <c r="K426" s="160" t="s">
        <v>106</v>
      </c>
      <c r="L426" s="504">
        <v>1</v>
      </c>
      <c r="M426" s="160" t="s">
        <v>242</v>
      </c>
      <c r="N426" s="504" t="s">
        <v>240</v>
      </c>
      <c r="O426" s="136">
        <f t="shared" ref="O426" si="97">SUM(I426*L426)</f>
        <v>200000</v>
      </c>
    </row>
    <row r="427" spans="1:15" ht="13.15" customHeight="1" x14ac:dyDescent="0.15">
      <c r="A427" s="293"/>
      <c r="B427" s="293"/>
      <c r="C427" s="511"/>
      <c r="D427" s="512"/>
      <c r="E427" s="223"/>
      <c r="F427" s="223"/>
      <c r="G427" s="223">
        <f t="shared" si="72"/>
        <v>0</v>
      </c>
      <c r="H427" s="507" t="s">
        <v>256</v>
      </c>
      <c r="I427" s="145">
        <v>150000</v>
      </c>
      <c r="J427" s="137" t="s">
        <v>239</v>
      </c>
      <c r="K427" s="160" t="s">
        <v>106</v>
      </c>
      <c r="L427" s="504">
        <v>1</v>
      </c>
      <c r="M427" s="160" t="s">
        <v>242</v>
      </c>
      <c r="N427" s="504" t="s">
        <v>240</v>
      </c>
      <c r="O427" s="136">
        <f t="shared" si="95"/>
        <v>150000</v>
      </c>
    </row>
    <row r="428" spans="1:15" ht="13.15" customHeight="1" x14ac:dyDescent="0.15">
      <c r="A428" s="293"/>
      <c r="B428" s="293"/>
      <c r="C428" s="511"/>
      <c r="D428" s="512"/>
      <c r="E428" s="223"/>
      <c r="F428" s="223"/>
      <c r="G428" s="223"/>
      <c r="H428" s="507" t="s">
        <v>334</v>
      </c>
      <c r="I428" s="145">
        <v>40000</v>
      </c>
      <c r="J428" s="137" t="s">
        <v>239</v>
      </c>
      <c r="K428" s="160" t="s">
        <v>106</v>
      </c>
      <c r="L428" s="504">
        <v>10</v>
      </c>
      <c r="M428" s="160" t="s">
        <v>242</v>
      </c>
      <c r="N428" s="504" t="s">
        <v>240</v>
      </c>
      <c r="O428" s="136">
        <f t="shared" ref="O428" si="98">SUM(I428*L428)</f>
        <v>400000</v>
      </c>
    </row>
    <row r="429" spans="1:15" ht="13.15" customHeight="1" x14ac:dyDescent="0.15">
      <c r="A429" s="293"/>
      <c r="B429" s="293"/>
      <c r="C429" s="511"/>
      <c r="D429" s="512"/>
      <c r="E429" s="223"/>
      <c r="F429" s="223"/>
      <c r="G429" s="223">
        <f t="shared" si="72"/>
        <v>0</v>
      </c>
      <c r="H429" s="507" t="s">
        <v>257</v>
      </c>
      <c r="I429" s="145">
        <v>400000</v>
      </c>
      <c r="J429" s="137" t="s">
        <v>239</v>
      </c>
      <c r="K429" s="160" t="s">
        <v>106</v>
      </c>
      <c r="L429" s="504">
        <v>1</v>
      </c>
      <c r="M429" s="160" t="s">
        <v>242</v>
      </c>
      <c r="N429" s="504" t="s">
        <v>240</v>
      </c>
      <c r="O429" s="136">
        <f t="shared" si="95"/>
        <v>400000</v>
      </c>
    </row>
    <row r="430" spans="1:15" ht="13.15" customHeight="1" x14ac:dyDescent="0.15">
      <c r="A430" s="293"/>
      <c r="B430" s="293"/>
      <c r="C430" s="511"/>
      <c r="D430" s="512"/>
      <c r="E430" s="223"/>
      <c r="F430" s="223"/>
      <c r="G430" s="223">
        <f t="shared" si="72"/>
        <v>0</v>
      </c>
      <c r="H430" s="508" t="s">
        <v>305</v>
      </c>
      <c r="I430" s="145">
        <v>830000</v>
      </c>
      <c r="J430" s="159" t="s">
        <v>241</v>
      </c>
      <c r="K430" s="160" t="s">
        <v>106</v>
      </c>
      <c r="L430" s="504">
        <v>1</v>
      </c>
      <c r="M430" s="160" t="s">
        <v>242</v>
      </c>
      <c r="N430" s="504" t="s">
        <v>240</v>
      </c>
      <c r="O430" s="136">
        <f t="shared" si="95"/>
        <v>830000</v>
      </c>
    </row>
    <row r="431" spans="1:15" ht="13.15" customHeight="1" x14ac:dyDescent="0.15">
      <c r="A431" s="293"/>
      <c r="B431" s="293"/>
      <c r="C431" s="511"/>
      <c r="D431" s="512"/>
      <c r="E431" s="223"/>
      <c r="F431" s="223"/>
      <c r="G431" s="223">
        <f t="shared" si="72"/>
        <v>0</v>
      </c>
      <c r="H431" s="506" t="s">
        <v>235</v>
      </c>
      <c r="I431" s="211"/>
      <c r="J431" s="218"/>
      <c r="K431" s="213"/>
      <c r="L431" s="214"/>
      <c r="M431" s="213"/>
      <c r="N431" s="214"/>
      <c r="O431" s="141">
        <f>SUM(O432:O440)</f>
        <v>65858500</v>
      </c>
    </row>
    <row r="432" spans="1:15" ht="13.15" customHeight="1" x14ac:dyDescent="0.15">
      <c r="A432" s="293"/>
      <c r="B432" s="293"/>
      <c r="C432" s="511"/>
      <c r="D432" s="512"/>
      <c r="E432" s="223"/>
      <c r="F432" s="223"/>
      <c r="G432" s="223">
        <f t="shared" si="72"/>
        <v>0</v>
      </c>
      <c r="H432" s="508" t="s">
        <v>236</v>
      </c>
      <c r="I432" s="145">
        <v>500000</v>
      </c>
      <c r="J432" s="159" t="s">
        <v>241</v>
      </c>
      <c r="K432" s="160" t="s">
        <v>106</v>
      </c>
      <c r="L432" s="504">
        <v>80</v>
      </c>
      <c r="M432" s="160" t="s">
        <v>243</v>
      </c>
      <c r="N432" s="504" t="s">
        <v>240</v>
      </c>
      <c r="O432" s="136">
        <f t="shared" ref="O432:O436" si="99">SUM(I432*L432)</f>
        <v>40000000</v>
      </c>
    </row>
    <row r="433" spans="1:19" s="377" customFormat="1" ht="13.15" customHeight="1" x14ac:dyDescent="0.15">
      <c r="A433" s="293"/>
      <c r="B433" s="293"/>
      <c r="C433" s="511"/>
      <c r="D433" s="512"/>
      <c r="E433" s="223"/>
      <c r="F433" s="223"/>
      <c r="G433" s="223">
        <f t="shared" si="72"/>
        <v>0</v>
      </c>
      <c r="H433" s="508" t="s">
        <v>501</v>
      </c>
      <c r="I433" s="145">
        <f>693000+27500</f>
        <v>720500</v>
      </c>
      <c r="J433" s="159" t="s">
        <v>241</v>
      </c>
      <c r="K433" s="160" t="s">
        <v>106</v>
      </c>
      <c r="L433" s="504">
        <v>7</v>
      </c>
      <c r="M433" s="160" t="s">
        <v>244</v>
      </c>
      <c r="N433" s="504" t="s">
        <v>240</v>
      </c>
      <c r="O433" s="136">
        <f t="shared" si="99"/>
        <v>5043500</v>
      </c>
      <c r="P433" s="576"/>
      <c r="Q433" s="312"/>
      <c r="R433" s="274"/>
      <c r="S433" s="274"/>
    </row>
    <row r="434" spans="1:19" ht="13.15" customHeight="1" x14ac:dyDescent="0.15">
      <c r="A434" s="293"/>
      <c r="B434" s="293"/>
      <c r="C434" s="511"/>
      <c r="D434" s="512"/>
      <c r="E434" s="223"/>
      <c r="F434" s="223"/>
      <c r="G434" s="223">
        <f t="shared" si="72"/>
        <v>0</v>
      </c>
      <c r="H434" s="508" t="s">
        <v>237</v>
      </c>
      <c r="I434" s="145"/>
      <c r="J434" s="159" t="s">
        <v>241</v>
      </c>
      <c r="K434" s="160" t="s">
        <v>106</v>
      </c>
      <c r="L434" s="504"/>
      <c r="M434" s="160" t="s">
        <v>242</v>
      </c>
      <c r="N434" s="504" t="s">
        <v>240</v>
      </c>
      <c r="O434" s="136">
        <f t="shared" si="99"/>
        <v>0</v>
      </c>
    </row>
    <row r="435" spans="1:19" ht="13.15" customHeight="1" x14ac:dyDescent="0.15">
      <c r="A435" s="293"/>
      <c r="B435" s="293"/>
      <c r="C435" s="511"/>
      <c r="D435" s="512"/>
      <c r="E435" s="223"/>
      <c r="F435" s="223"/>
      <c r="G435" s="223">
        <f t="shared" si="72"/>
        <v>0</v>
      </c>
      <c r="H435" s="508" t="s">
        <v>238</v>
      </c>
      <c r="I435" s="145"/>
      <c r="J435" s="159" t="s">
        <v>241</v>
      </c>
      <c r="K435" s="160" t="s">
        <v>106</v>
      </c>
      <c r="L435" s="504"/>
      <c r="M435" s="160" t="s">
        <v>242</v>
      </c>
      <c r="N435" s="504" t="s">
        <v>240</v>
      </c>
      <c r="O435" s="136">
        <f t="shared" si="99"/>
        <v>0</v>
      </c>
    </row>
    <row r="436" spans="1:19" s="377" customFormat="1" ht="13.15" customHeight="1" x14ac:dyDescent="0.15">
      <c r="A436" s="293"/>
      <c r="B436" s="293"/>
      <c r="C436" s="511"/>
      <c r="D436" s="512"/>
      <c r="E436" s="223"/>
      <c r="F436" s="223"/>
      <c r="G436" s="223">
        <f t="shared" si="72"/>
        <v>0</v>
      </c>
      <c r="H436" s="508" t="s">
        <v>502</v>
      </c>
      <c r="I436" s="145">
        <v>70000</v>
      </c>
      <c r="J436" s="159" t="s">
        <v>241</v>
      </c>
      <c r="K436" s="160" t="s">
        <v>106</v>
      </c>
      <c r="L436" s="504">
        <v>3</v>
      </c>
      <c r="M436" s="160" t="s">
        <v>242</v>
      </c>
      <c r="N436" s="504" t="s">
        <v>240</v>
      </c>
      <c r="O436" s="136">
        <f t="shared" si="99"/>
        <v>210000</v>
      </c>
      <c r="P436" s="576"/>
      <c r="Q436" s="312"/>
      <c r="R436" s="274"/>
      <c r="S436" s="274"/>
    </row>
    <row r="437" spans="1:19" ht="13.15" customHeight="1" x14ac:dyDescent="0.15">
      <c r="A437" s="293"/>
      <c r="B437" s="293"/>
      <c r="C437" s="511"/>
      <c r="D437" s="512"/>
      <c r="E437" s="223"/>
      <c r="F437" s="223"/>
      <c r="G437" s="223"/>
      <c r="H437" s="508" t="s">
        <v>333</v>
      </c>
      <c r="I437" s="145">
        <v>605000</v>
      </c>
      <c r="J437" s="159" t="s">
        <v>241</v>
      </c>
      <c r="K437" s="160" t="s">
        <v>106</v>
      </c>
      <c r="L437" s="504">
        <v>1</v>
      </c>
      <c r="M437" s="160" t="s">
        <v>242</v>
      </c>
      <c r="N437" s="504" t="s">
        <v>240</v>
      </c>
      <c r="O437" s="136">
        <f t="shared" ref="O437:O438" si="100">SUM(I437*L437)</f>
        <v>605000</v>
      </c>
    </row>
    <row r="438" spans="1:19" ht="13.15" customHeight="1" x14ac:dyDescent="0.15">
      <c r="A438" s="293"/>
      <c r="B438" s="293"/>
      <c r="C438" s="511"/>
      <c r="D438" s="512"/>
      <c r="E438" s="223"/>
      <c r="F438" s="223"/>
      <c r="G438" s="223"/>
      <c r="H438" s="508" t="s">
        <v>306</v>
      </c>
      <c r="I438" s="145"/>
      <c r="J438" s="159" t="s">
        <v>241</v>
      </c>
      <c r="K438" s="160" t="s">
        <v>106</v>
      </c>
      <c r="L438" s="504"/>
      <c r="M438" s="160" t="s">
        <v>242</v>
      </c>
      <c r="N438" s="504" t="s">
        <v>240</v>
      </c>
      <c r="O438" s="136">
        <f t="shared" si="100"/>
        <v>0</v>
      </c>
    </row>
    <row r="439" spans="1:19" s="377" customFormat="1" ht="14.25" customHeight="1" x14ac:dyDescent="0.15">
      <c r="A439" s="511"/>
      <c r="B439" s="501"/>
      <c r="C439" s="511"/>
      <c r="D439" s="512"/>
      <c r="E439" s="223"/>
      <c r="F439" s="223"/>
      <c r="G439" s="223"/>
      <c r="H439" s="508" t="s">
        <v>318</v>
      </c>
      <c r="I439" s="145">
        <v>10000</v>
      </c>
      <c r="J439" s="137" t="s">
        <v>100</v>
      </c>
      <c r="K439" s="140">
        <v>55</v>
      </c>
      <c r="L439" s="139" t="s">
        <v>102</v>
      </c>
      <c r="M439" s="140">
        <v>24</v>
      </c>
      <c r="N439" s="139" t="s">
        <v>105</v>
      </c>
      <c r="O439" s="136">
        <f>I439*K439*M439</f>
        <v>13200000</v>
      </c>
      <c r="P439" s="576"/>
      <c r="Q439" s="312"/>
      <c r="R439" s="274"/>
      <c r="S439" s="274"/>
    </row>
    <row r="440" spans="1:19" ht="13.15" customHeight="1" x14ac:dyDescent="0.15">
      <c r="A440" s="293"/>
      <c r="B440" s="293"/>
      <c r="C440" s="511"/>
      <c r="D440" s="512"/>
      <c r="E440" s="223"/>
      <c r="F440" s="223"/>
      <c r="G440" s="223"/>
      <c r="H440" s="508" t="s">
        <v>419</v>
      </c>
      <c r="I440" s="145">
        <v>1360000</v>
      </c>
      <c r="J440" s="159" t="s">
        <v>241</v>
      </c>
      <c r="K440" s="160" t="s">
        <v>106</v>
      </c>
      <c r="L440" s="504">
        <v>5</v>
      </c>
      <c r="M440" s="160" t="s">
        <v>242</v>
      </c>
      <c r="N440" s="504" t="s">
        <v>240</v>
      </c>
      <c r="O440" s="136">
        <f t="shared" ref="O440" si="101">SUM(I440*L440)</f>
        <v>6800000</v>
      </c>
    </row>
    <row r="441" spans="1:19" s="340" customFormat="1" ht="14.25" customHeight="1" x14ac:dyDescent="0.15">
      <c r="A441" s="511"/>
      <c r="B441" s="293"/>
      <c r="C441" s="709" t="s">
        <v>287</v>
      </c>
      <c r="D441" s="710"/>
      <c r="E441" s="162">
        <v>22916</v>
      </c>
      <c r="F441" s="162">
        <f>O441/1000</f>
        <v>17916</v>
      </c>
      <c r="G441" s="162">
        <f t="shared" si="72"/>
        <v>-5000</v>
      </c>
      <c r="H441" s="514" t="s">
        <v>288</v>
      </c>
      <c r="I441" s="205"/>
      <c r="J441" s="206"/>
      <c r="K441" s="207"/>
      <c r="L441" s="208"/>
      <c r="M441" s="207"/>
      <c r="N441" s="208"/>
      <c r="O441" s="209">
        <f>SUM(O442:O444)</f>
        <v>17916000</v>
      </c>
      <c r="P441" s="582"/>
      <c r="Q441" s="574"/>
    </row>
    <row r="442" spans="1:19" ht="13.5" customHeight="1" x14ac:dyDescent="0.15">
      <c r="A442" s="293"/>
      <c r="B442" s="341"/>
      <c r="C442" s="511"/>
      <c r="D442" s="512"/>
      <c r="E442" s="354"/>
      <c r="F442" s="354"/>
      <c r="G442" s="355" t="s">
        <v>251</v>
      </c>
      <c r="H442" s="508" t="s">
        <v>533</v>
      </c>
      <c r="I442" s="145">
        <v>5700</v>
      </c>
      <c r="J442" s="137" t="s">
        <v>100</v>
      </c>
      <c r="K442" s="138" t="s">
        <v>197</v>
      </c>
      <c r="L442" s="139" t="s">
        <v>102</v>
      </c>
      <c r="M442" s="140">
        <v>240</v>
      </c>
      <c r="N442" s="139" t="s">
        <v>128</v>
      </c>
      <c r="O442" s="136">
        <f t="shared" ref="O442" si="102">SUM(I442*K442*M442)</f>
        <v>16416000</v>
      </c>
    </row>
    <row r="443" spans="1:19" ht="13.5" customHeight="1" x14ac:dyDescent="0.15">
      <c r="A443" s="293"/>
      <c r="B443" s="341"/>
      <c r="C443" s="511"/>
      <c r="D443" s="512"/>
      <c r="E443" s="354"/>
      <c r="F443" s="354"/>
      <c r="G443" s="355" t="s">
        <v>251</v>
      </c>
      <c r="H443" s="508" t="s">
        <v>276</v>
      </c>
      <c r="I443" s="145"/>
      <c r="J443" s="137" t="s">
        <v>100</v>
      </c>
      <c r="K443" s="138"/>
      <c r="L443" s="139"/>
      <c r="M443" s="140"/>
      <c r="N443" s="139" t="s">
        <v>105</v>
      </c>
      <c r="O443" s="136">
        <f>SUM(I443*M443)</f>
        <v>0</v>
      </c>
    </row>
    <row r="444" spans="1:19" ht="13.5" customHeight="1" x14ac:dyDescent="0.15">
      <c r="A444" s="293"/>
      <c r="B444" s="341"/>
      <c r="C444" s="511"/>
      <c r="D444" s="512"/>
      <c r="E444" s="354"/>
      <c r="F444" s="354"/>
      <c r="G444" s="355" t="s">
        <v>251</v>
      </c>
      <c r="H444" s="507" t="s">
        <v>277</v>
      </c>
      <c r="I444" s="145">
        <v>1500000</v>
      </c>
      <c r="J444" s="137" t="s">
        <v>100</v>
      </c>
      <c r="K444" s="140"/>
      <c r="L444" s="139"/>
      <c r="M444" s="140">
        <v>1</v>
      </c>
      <c r="N444" s="139" t="s">
        <v>105</v>
      </c>
      <c r="O444" s="136">
        <f>SUM(I444*M444)</f>
        <v>1500000</v>
      </c>
    </row>
    <row r="445" spans="1:19" ht="13.15" customHeight="1" x14ac:dyDescent="0.15">
      <c r="A445" s="711" t="s">
        <v>25</v>
      </c>
      <c r="B445" s="715"/>
      <c r="C445" s="715"/>
      <c r="D445" s="716"/>
      <c r="E445" s="280">
        <v>0</v>
      </c>
      <c r="F445" s="280">
        <f t="shared" ref="F445:F446" si="103">SUM(F446)</f>
        <v>0</v>
      </c>
      <c r="G445" s="280">
        <f t="shared" si="72"/>
        <v>0</v>
      </c>
      <c r="H445" s="332"/>
      <c r="I445" s="192"/>
      <c r="J445" s="356"/>
      <c r="K445" s="342"/>
      <c r="L445" s="357"/>
      <c r="M445" s="338"/>
      <c r="N445" s="357"/>
      <c r="O445" s="196"/>
    </row>
    <row r="446" spans="1:19" ht="13.15" customHeight="1" x14ac:dyDescent="0.15">
      <c r="A446" s="293"/>
      <c r="B446" s="755" t="s">
        <v>26</v>
      </c>
      <c r="C446" s="756"/>
      <c r="D446" s="757"/>
      <c r="E446" s="343">
        <v>0</v>
      </c>
      <c r="F446" s="343">
        <f t="shared" si="103"/>
        <v>0</v>
      </c>
      <c r="G446" s="343">
        <f t="shared" si="72"/>
        <v>0</v>
      </c>
      <c r="H446" s="148"/>
      <c r="I446" s="147"/>
      <c r="J446" s="358"/>
      <c r="K446" s="500"/>
      <c r="L446" s="359"/>
      <c r="M446" s="360"/>
      <c r="N446" s="359"/>
      <c r="O446" s="142"/>
    </row>
    <row r="447" spans="1:19" ht="13.15" customHeight="1" x14ac:dyDescent="0.15">
      <c r="A447" s="293"/>
      <c r="B447" s="293"/>
      <c r="C447" s="745" t="s">
        <v>27</v>
      </c>
      <c r="D447" s="746"/>
      <c r="E447" s="223">
        <v>0</v>
      </c>
      <c r="F447" s="223">
        <v>0</v>
      </c>
      <c r="G447" s="223">
        <f t="shared" si="72"/>
        <v>0</v>
      </c>
      <c r="H447" s="507" t="s">
        <v>144</v>
      </c>
      <c r="I447" s="508"/>
      <c r="J447" s="508"/>
      <c r="K447" s="508"/>
      <c r="L447" s="508"/>
      <c r="M447" s="508"/>
      <c r="N447" s="508"/>
      <c r="O447" s="136">
        <f>SUM(O448:O449)</f>
        <v>0</v>
      </c>
    </row>
    <row r="448" spans="1:19" ht="13.15" customHeight="1" x14ac:dyDescent="0.15">
      <c r="A448" s="293"/>
      <c r="B448" s="293"/>
      <c r="C448" s="511"/>
      <c r="D448" s="512"/>
      <c r="E448" s="223"/>
      <c r="F448" s="223"/>
      <c r="G448" s="223">
        <f t="shared" ref="G448:G462" si="104">F448-E448</f>
        <v>0</v>
      </c>
      <c r="H448" s="507">
        <v>1</v>
      </c>
      <c r="I448" s="145"/>
      <c r="J448" s="159" t="s">
        <v>78</v>
      </c>
      <c r="K448" s="361" t="s">
        <v>104</v>
      </c>
      <c r="L448" s="362"/>
      <c r="M448" s="160" t="s">
        <v>82</v>
      </c>
      <c r="N448" s="504" t="s">
        <v>81</v>
      </c>
      <c r="O448" s="136">
        <f>SUM(I448*L448)</f>
        <v>0</v>
      </c>
    </row>
    <row r="449" spans="1:19" ht="13.15" customHeight="1" x14ac:dyDescent="0.15">
      <c r="A449" s="293"/>
      <c r="B449" s="293"/>
      <c r="C449" s="511"/>
      <c r="D449" s="512"/>
      <c r="E449" s="223"/>
      <c r="F449" s="223"/>
      <c r="G449" s="223">
        <f t="shared" si="104"/>
        <v>0</v>
      </c>
      <c r="H449" s="508">
        <v>2</v>
      </c>
      <c r="I449" s="145"/>
      <c r="J449" s="159" t="s">
        <v>78</v>
      </c>
      <c r="K449" s="361" t="s">
        <v>104</v>
      </c>
      <c r="L449" s="362"/>
      <c r="M449" s="160" t="s">
        <v>82</v>
      </c>
      <c r="N449" s="504" t="s">
        <v>81</v>
      </c>
      <c r="O449" s="136">
        <f t="shared" ref="O449" si="105">SUM(I449*L449)</f>
        <v>0</v>
      </c>
    </row>
    <row r="450" spans="1:19" ht="13.15" customHeight="1" x14ac:dyDescent="0.15">
      <c r="A450" s="711" t="s">
        <v>28</v>
      </c>
      <c r="B450" s="715"/>
      <c r="C450" s="715"/>
      <c r="D450" s="716"/>
      <c r="E450" s="280">
        <v>60809</v>
      </c>
      <c r="F450" s="280">
        <f t="shared" ref="F450:F451" si="106">SUM(F451)</f>
        <v>73020.759000000005</v>
      </c>
      <c r="G450" s="280">
        <f t="shared" si="104"/>
        <v>12211.759000000005</v>
      </c>
      <c r="H450" s="332"/>
      <c r="I450" s="192"/>
      <c r="J450" s="356"/>
      <c r="K450" s="342"/>
      <c r="L450" s="357"/>
      <c r="M450" s="338"/>
      <c r="N450" s="357"/>
      <c r="O450" s="196"/>
    </row>
    <row r="451" spans="1:19" ht="13.15" customHeight="1" x14ac:dyDescent="0.15">
      <c r="A451" s="293"/>
      <c r="B451" s="711" t="s">
        <v>29</v>
      </c>
      <c r="C451" s="715"/>
      <c r="D451" s="716"/>
      <c r="E451" s="280">
        <v>60809</v>
      </c>
      <c r="F451" s="280">
        <f t="shared" si="106"/>
        <v>73020.759000000005</v>
      </c>
      <c r="G451" s="280">
        <f t="shared" si="104"/>
        <v>12211.759000000005</v>
      </c>
      <c r="H451" s="332"/>
      <c r="I451" s="192"/>
      <c r="J451" s="356"/>
      <c r="K451" s="342"/>
      <c r="L451" s="357"/>
      <c r="M451" s="338"/>
      <c r="N451" s="357"/>
      <c r="O451" s="196"/>
    </row>
    <row r="452" spans="1:19" ht="13.15" customHeight="1" x14ac:dyDescent="0.15">
      <c r="A452" s="293"/>
      <c r="B452" s="293"/>
      <c r="C452" s="745" t="s">
        <v>30</v>
      </c>
      <c r="D452" s="746"/>
      <c r="E452" s="223">
        <v>60809</v>
      </c>
      <c r="F452" s="223">
        <f>O452/1000</f>
        <v>73020.759000000005</v>
      </c>
      <c r="G452" s="223">
        <f t="shared" si="104"/>
        <v>12211.759000000005</v>
      </c>
      <c r="H452" s="774" t="s">
        <v>145</v>
      </c>
      <c r="I452" s="775"/>
      <c r="J452" s="775"/>
      <c r="K452" s="775"/>
      <c r="L452" s="775"/>
      <c r="M452" s="775"/>
      <c r="N452" s="775"/>
      <c r="O452" s="136">
        <f>SUM(O453:O454)</f>
        <v>73020759</v>
      </c>
    </row>
    <row r="453" spans="1:19" ht="13.15" customHeight="1" x14ac:dyDescent="0.15">
      <c r="A453" s="293"/>
      <c r="B453" s="293"/>
      <c r="C453" s="595"/>
      <c r="D453" s="596"/>
      <c r="E453" s="223"/>
      <c r="F453" s="223"/>
      <c r="G453" s="223"/>
      <c r="H453" s="598" t="s">
        <v>275</v>
      </c>
      <c r="I453" s="145">
        <v>64800000</v>
      </c>
      <c r="J453" s="159" t="s">
        <v>78</v>
      </c>
      <c r="K453" s="361" t="s">
        <v>106</v>
      </c>
      <c r="L453" s="597">
        <v>1</v>
      </c>
      <c r="M453" s="160" t="s">
        <v>82</v>
      </c>
      <c r="N453" s="597" t="s">
        <v>81</v>
      </c>
      <c r="O453" s="136">
        <f>I453*L453</f>
        <v>64800000</v>
      </c>
    </row>
    <row r="454" spans="1:19" ht="13.15" customHeight="1" x14ac:dyDescent="0.15">
      <c r="A454" s="293"/>
      <c r="B454" s="293"/>
      <c r="C454" s="511"/>
      <c r="D454" s="512"/>
      <c r="E454" s="223"/>
      <c r="F454" s="223"/>
      <c r="G454" s="223">
        <f t="shared" si="104"/>
        <v>0</v>
      </c>
      <c r="H454" s="507" t="s">
        <v>719</v>
      </c>
      <c r="I454" s="145">
        <v>8220759</v>
      </c>
      <c r="J454" s="159" t="s">
        <v>78</v>
      </c>
      <c r="K454" s="361" t="s">
        <v>106</v>
      </c>
      <c r="L454" s="504">
        <v>1</v>
      </c>
      <c r="M454" s="160" t="s">
        <v>82</v>
      </c>
      <c r="N454" s="504" t="s">
        <v>81</v>
      </c>
      <c r="O454" s="136">
        <f>SUM(I454*L454)</f>
        <v>8220759</v>
      </c>
    </row>
    <row r="455" spans="1:19" ht="13.15" customHeight="1" x14ac:dyDescent="0.15">
      <c r="A455" s="711" t="s">
        <v>71</v>
      </c>
      <c r="B455" s="715"/>
      <c r="C455" s="715"/>
      <c r="D455" s="716"/>
      <c r="E455" s="280">
        <v>53000</v>
      </c>
      <c r="F455" s="280">
        <f t="shared" ref="F455" si="107">SUM(F456)</f>
        <v>68603</v>
      </c>
      <c r="G455" s="280">
        <f t="shared" si="104"/>
        <v>15603</v>
      </c>
      <c r="H455" s="332"/>
      <c r="I455" s="192"/>
      <c r="J455" s="356"/>
      <c r="K455" s="342"/>
      <c r="L455" s="357"/>
      <c r="M455" s="338"/>
      <c r="N455" s="357"/>
      <c r="O455" s="196"/>
    </row>
    <row r="456" spans="1:19" ht="13.15" customHeight="1" x14ac:dyDescent="0.15">
      <c r="A456" s="293"/>
      <c r="B456" s="714" t="s">
        <v>72</v>
      </c>
      <c r="C456" s="715"/>
      <c r="D456" s="716"/>
      <c r="E456" s="280">
        <v>53000</v>
      </c>
      <c r="F456" s="280">
        <f>SUM(F457:F459)</f>
        <v>68603</v>
      </c>
      <c r="G456" s="280">
        <f t="shared" si="104"/>
        <v>15603</v>
      </c>
      <c r="H456" s="332"/>
      <c r="I456" s="192"/>
      <c r="J456" s="356"/>
      <c r="K456" s="342"/>
      <c r="L456" s="357"/>
      <c r="M456" s="338"/>
      <c r="N456" s="357"/>
      <c r="O456" s="196"/>
    </row>
    <row r="457" spans="1:19" s="430" customFormat="1" ht="13.15" customHeight="1" x14ac:dyDescent="0.15">
      <c r="A457" s="293"/>
      <c r="B457" s="293" t="s">
        <v>15</v>
      </c>
      <c r="C457" s="766" t="s">
        <v>31</v>
      </c>
      <c r="D457" s="767"/>
      <c r="E457" s="322">
        <v>45000</v>
      </c>
      <c r="F457" s="322">
        <f>46339+11779+7392-1500+2553+40-6000+6000</f>
        <v>66603</v>
      </c>
      <c r="G457" s="322">
        <f t="shared" si="104"/>
        <v>21603</v>
      </c>
      <c r="H457" s="227"/>
      <c r="I457" s="147"/>
      <c r="J457" s="179"/>
      <c r="K457" s="500"/>
      <c r="L457" s="513"/>
      <c r="M457" s="180"/>
      <c r="N457" s="513"/>
      <c r="O457" s="142"/>
      <c r="P457" s="576"/>
      <c r="Q457" s="312"/>
      <c r="R457" s="274"/>
      <c r="S457" s="274"/>
    </row>
    <row r="458" spans="1:19" s="1" customFormat="1" ht="13.15" customHeight="1" x14ac:dyDescent="0.15">
      <c r="A458" s="293"/>
      <c r="B458" s="293" t="s">
        <v>15</v>
      </c>
      <c r="C458" s="776" t="s">
        <v>67</v>
      </c>
      <c r="D458" s="777"/>
      <c r="E458" s="603">
        <v>8000</v>
      </c>
      <c r="F458" s="603">
        <f>8000-6000</f>
        <v>2000</v>
      </c>
      <c r="G458" s="603">
        <f t="shared" si="104"/>
        <v>-6000</v>
      </c>
      <c r="H458" s="604" t="s">
        <v>386</v>
      </c>
      <c r="I458" s="374">
        <v>8000000</v>
      </c>
      <c r="J458" s="605" t="s">
        <v>78</v>
      </c>
      <c r="K458" s="606" t="s">
        <v>106</v>
      </c>
      <c r="L458" s="607">
        <v>1</v>
      </c>
      <c r="M458" s="375" t="s">
        <v>82</v>
      </c>
      <c r="N458" s="607" t="s">
        <v>81</v>
      </c>
      <c r="O458" s="376">
        <f t="shared" ref="O458:O459" si="108">SUM(I458*L458)</f>
        <v>8000000</v>
      </c>
      <c r="P458" s="576"/>
      <c r="Q458" s="312"/>
      <c r="R458" s="274"/>
      <c r="S458" s="274"/>
    </row>
    <row r="459" spans="1:19" ht="13.15" customHeight="1" x14ac:dyDescent="0.15">
      <c r="A459" s="293"/>
      <c r="B459" s="293"/>
      <c r="C459" s="772" t="s">
        <v>434</v>
      </c>
      <c r="D459" s="773"/>
      <c r="E459" s="175">
        <v>0</v>
      </c>
      <c r="F459" s="175">
        <v>0</v>
      </c>
      <c r="G459" s="175">
        <f t="shared" si="104"/>
        <v>0</v>
      </c>
      <c r="H459" s="337" t="s">
        <v>146</v>
      </c>
      <c r="I459" s="192"/>
      <c r="J459" s="193" t="s">
        <v>78</v>
      </c>
      <c r="K459" s="342" t="s">
        <v>106</v>
      </c>
      <c r="L459" s="503"/>
      <c r="M459" s="194" t="s">
        <v>82</v>
      </c>
      <c r="N459" s="503" t="s">
        <v>81</v>
      </c>
      <c r="O459" s="196">
        <f t="shared" si="108"/>
        <v>0</v>
      </c>
    </row>
    <row r="460" spans="1:19" s="430" customFormat="1" ht="13.15" customHeight="1" x14ac:dyDescent="0.15">
      <c r="A460" s="711" t="s">
        <v>68</v>
      </c>
      <c r="B460" s="715"/>
      <c r="C460" s="715"/>
      <c r="D460" s="716"/>
      <c r="E460" s="280">
        <v>0</v>
      </c>
      <c r="F460" s="280">
        <f t="shared" ref="F460:F461" si="109">SUM(F461)</f>
        <v>0</v>
      </c>
      <c r="G460" s="280">
        <f t="shared" si="104"/>
        <v>0</v>
      </c>
      <c r="H460" s="191"/>
      <c r="I460" s="192"/>
      <c r="J460" s="356"/>
      <c r="K460" s="342"/>
      <c r="L460" s="357"/>
      <c r="M460" s="338"/>
      <c r="N460" s="357"/>
      <c r="O460" s="196"/>
      <c r="P460" s="576"/>
      <c r="Q460" s="312"/>
      <c r="R460" s="274"/>
      <c r="S460" s="274"/>
    </row>
    <row r="461" spans="1:19" s="430" customFormat="1" ht="13.15" customHeight="1" x14ac:dyDescent="0.15">
      <c r="A461" s="293"/>
      <c r="B461" s="711" t="s">
        <v>69</v>
      </c>
      <c r="C461" s="715"/>
      <c r="D461" s="716"/>
      <c r="E461" s="280">
        <v>0</v>
      </c>
      <c r="F461" s="280">
        <f t="shared" si="109"/>
        <v>0</v>
      </c>
      <c r="G461" s="280">
        <f t="shared" si="104"/>
        <v>0</v>
      </c>
      <c r="H461" s="191"/>
      <c r="I461" s="192"/>
      <c r="J461" s="356"/>
      <c r="K461" s="342"/>
      <c r="L461" s="357"/>
      <c r="M461" s="338"/>
      <c r="N461" s="357"/>
      <c r="O461" s="196"/>
      <c r="P461" s="576"/>
      <c r="Q461" s="312"/>
      <c r="R461" s="274"/>
      <c r="S461" s="274"/>
    </row>
    <row r="462" spans="1:19" s="430" customFormat="1" ht="13.15" customHeight="1" x14ac:dyDescent="0.15">
      <c r="A462" s="320"/>
      <c r="B462" s="320" t="s">
        <v>15</v>
      </c>
      <c r="C462" s="772" t="s">
        <v>70</v>
      </c>
      <c r="D462" s="773"/>
      <c r="E462" s="175">
        <v>0</v>
      </c>
      <c r="F462" s="175">
        <v>0</v>
      </c>
      <c r="G462" s="175">
        <f t="shared" si="104"/>
        <v>0</v>
      </c>
      <c r="H462" s="551" t="s">
        <v>362</v>
      </c>
      <c r="I462" s="147"/>
      <c r="J462" s="179"/>
      <c r="K462" s="180"/>
      <c r="L462" s="513"/>
      <c r="M462" s="180"/>
      <c r="N462" s="513"/>
      <c r="O462" s="142"/>
      <c r="P462" s="576"/>
      <c r="Q462" s="312"/>
      <c r="R462" s="274"/>
      <c r="S462" s="274"/>
    </row>
    <row r="463" spans="1:19" ht="14.1" customHeight="1" x14ac:dyDescent="0.15">
      <c r="D463" s="363"/>
      <c r="E463" s="364" t="s">
        <v>531</v>
      </c>
      <c r="F463" s="363">
        <v>430000</v>
      </c>
      <c r="H463" s="228"/>
      <c r="I463" s="153"/>
      <c r="J463" s="228"/>
      <c r="K463" s="365"/>
      <c r="L463" s="230"/>
      <c r="M463" s="231"/>
      <c r="N463" s="230"/>
      <c r="O463" s="153"/>
    </row>
    <row r="464" spans="1:19" ht="14.1" customHeight="1" x14ac:dyDescent="0.15">
      <c r="E464" s="366"/>
      <c r="H464" s="228"/>
      <c r="I464" s="153"/>
      <c r="J464" s="228"/>
      <c r="K464" s="365"/>
      <c r="L464" s="230"/>
      <c r="M464" s="231"/>
      <c r="N464" s="230"/>
      <c r="O464" s="153"/>
    </row>
    <row r="465" spans="5:15" ht="14.1" customHeight="1" x14ac:dyDescent="0.15">
      <c r="E465" s="367"/>
      <c r="H465" s="228"/>
      <c r="I465" s="153"/>
      <c r="J465" s="228"/>
      <c r="K465" s="365"/>
      <c r="L465" s="230"/>
      <c r="M465" s="231"/>
      <c r="N465" s="230"/>
      <c r="O465" s="153"/>
    </row>
    <row r="466" spans="5:15" ht="14.1" customHeight="1" x14ac:dyDescent="0.15">
      <c r="E466" s="367"/>
      <c r="H466" s="228"/>
      <c r="I466" s="153"/>
      <c r="J466" s="228"/>
      <c r="K466" s="365"/>
      <c r="L466" s="230"/>
      <c r="M466" s="231"/>
      <c r="N466" s="230"/>
      <c r="O466" s="153"/>
    </row>
    <row r="467" spans="5:15" ht="14.1" customHeight="1" x14ac:dyDescent="0.15">
      <c r="E467" s="366"/>
      <c r="H467" s="228"/>
      <c r="I467" s="153"/>
      <c r="J467" s="228"/>
      <c r="K467" s="365"/>
      <c r="L467" s="230"/>
      <c r="M467" s="231"/>
      <c r="N467" s="230"/>
      <c r="O467" s="153"/>
    </row>
    <row r="468" spans="5:15" ht="14.1" customHeight="1" x14ac:dyDescent="0.15">
      <c r="H468" s="228"/>
      <c r="I468" s="153"/>
      <c r="J468" s="228"/>
      <c r="K468" s="365"/>
      <c r="L468" s="230"/>
      <c r="M468" s="231"/>
      <c r="N468" s="230"/>
      <c r="O468" s="153"/>
    </row>
    <row r="469" spans="5:15" ht="14.1" customHeight="1" x14ac:dyDescent="0.15">
      <c r="H469" s="228"/>
      <c r="I469" s="153"/>
      <c r="J469" s="228"/>
      <c r="K469" s="365"/>
      <c r="L469" s="230"/>
      <c r="M469" s="231"/>
      <c r="N469" s="230"/>
      <c r="O469" s="153"/>
    </row>
    <row r="470" spans="5:15" ht="14.1" customHeight="1" x14ac:dyDescent="0.15">
      <c r="H470" s="228"/>
      <c r="I470" s="153"/>
      <c r="J470" s="228"/>
      <c r="K470" s="365"/>
      <c r="L470" s="230"/>
      <c r="M470" s="231"/>
      <c r="N470" s="230"/>
      <c r="O470" s="153"/>
    </row>
    <row r="471" spans="5:15" ht="14.1" customHeight="1" x14ac:dyDescent="0.15">
      <c r="H471" s="228"/>
      <c r="I471" s="153"/>
      <c r="J471" s="228"/>
      <c r="K471" s="365"/>
      <c r="L471" s="230"/>
      <c r="M471" s="231"/>
      <c r="N471" s="230"/>
      <c r="O471" s="153"/>
    </row>
    <row r="472" spans="5:15" ht="14.1" customHeight="1" x14ac:dyDescent="0.15">
      <c r="H472" s="228"/>
      <c r="I472" s="153"/>
      <c r="J472" s="228"/>
      <c r="K472" s="365"/>
      <c r="L472" s="230"/>
      <c r="M472" s="231"/>
      <c r="N472" s="230"/>
      <c r="O472" s="153"/>
    </row>
    <row r="473" spans="5:15" ht="14.1" customHeight="1" x14ac:dyDescent="0.15">
      <c r="H473" s="228"/>
      <c r="I473" s="153"/>
      <c r="J473" s="228"/>
      <c r="K473" s="365"/>
      <c r="L473" s="230"/>
      <c r="M473" s="231"/>
      <c r="N473" s="230"/>
      <c r="O473" s="153"/>
    </row>
    <row r="474" spans="5:15" ht="14.1" customHeight="1" x14ac:dyDescent="0.15">
      <c r="H474" s="228"/>
      <c r="I474" s="153"/>
      <c r="J474" s="228"/>
      <c r="K474" s="365"/>
      <c r="L474" s="230"/>
      <c r="M474" s="231"/>
      <c r="N474" s="230"/>
      <c r="O474" s="153"/>
    </row>
    <row r="475" spans="5:15" ht="14.1" customHeight="1" x14ac:dyDescent="0.15">
      <c r="H475" s="228"/>
      <c r="I475" s="153"/>
      <c r="J475" s="228"/>
      <c r="K475" s="365"/>
      <c r="L475" s="230"/>
      <c r="M475" s="231"/>
      <c r="N475" s="230"/>
      <c r="O475" s="153"/>
    </row>
    <row r="476" spans="5:15" ht="14.1" customHeight="1" x14ac:dyDescent="0.15">
      <c r="H476" s="228"/>
      <c r="I476" s="153"/>
      <c r="J476" s="228"/>
      <c r="K476" s="365"/>
      <c r="L476" s="230"/>
      <c r="M476" s="231"/>
      <c r="N476" s="230"/>
      <c r="O476" s="153"/>
    </row>
    <row r="477" spans="5:15" ht="14.1" customHeight="1" x14ac:dyDescent="0.15">
      <c r="H477" s="228"/>
      <c r="I477" s="153"/>
      <c r="J477" s="228"/>
      <c r="K477" s="365"/>
      <c r="L477" s="230"/>
      <c r="M477" s="231"/>
      <c r="N477" s="230"/>
      <c r="O477" s="153"/>
    </row>
    <row r="478" spans="5:15" ht="14.1" customHeight="1" x14ac:dyDescent="0.15">
      <c r="H478" s="228"/>
      <c r="I478" s="153"/>
      <c r="J478" s="228"/>
      <c r="K478" s="365"/>
      <c r="L478" s="230"/>
      <c r="M478" s="231"/>
      <c r="N478" s="230"/>
      <c r="O478" s="153"/>
    </row>
    <row r="479" spans="5:15" ht="14.1" customHeight="1" x14ac:dyDescent="0.15">
      <c r="H479" s="228"/>
      <c r="I479" s="153"/>
      <c r="J479" s="228"/>
      <c r="K479" s="365"/>
      <c r="L479" s="230"/>
      <c r="M479" s="231"/>
      <c r="N479" s="230"/>
      <c r="O479" s="153"/>
    </row>
    <row r="480" spans="5:15" ht="14.1" customHeight="1" x14ac:dyDescent="0.15">
      <c r="H480" s="228"/>
      <c r="I480" s="153"/>
      <c r="J480" s="228"/>
      <c r="K480" s="365"/>
      <c r="L480" s="230"/>
      <c r="M480" s="231"/>
      <c r="N480" s="230"/>
      <c r="O480" s="153"/>
    </row>
    <row r="481" spans="5:15" ht="14.1" customHeight="1" x14ac:dyDescent="0.15">
      <c r="H481" s="228"/>
      <c r="I481" s="153"/>
      <c r="J481" s="228"/>
      <c r="K481" s="365"/>
      <c r="L481" s="230"/>
      <c r="M481" s="231"/>
      <c r="N481" s="230"/>
      <c r="O481" s="153"/>
    </row>
    <row r="482" spans="5:15" ht="14.1" customHeight="1" x14ac:dyDescent="0.15">
      <c r="H482" s="228"/>
      <c r="I482" s="153"/>
      <c r="J482" s="228"/>
      <c r="K482" s="365"/>
      <c r="L482" s="230"/>
      <c r="M482" s="231"/>
      <c r="N482" s="230"/>
      <c r="O482" s="153"/>
    </row>
    <row r="483" spans="5:15" ht="14.1" customHeight="1" x14ac:dyDescent="0.15">
      <c r="H483" s="228"/>
      <c r="I483" s="153"/>
      <c r="J483" s="228"/>
      <c r="K483" s="365"/>
      <c r="L483" s="230"/>
      <c r="M483" s="231"/>
      <c r="N483" s="230"/>
      <c r="O483" s="153"/>
    </row>
    <row r="484" spans="5:15" ht="14.1" customHeight="1" x14ac:dyDescent="0.15">
      <c r="H484" s="228"/>
      <c r="I484" s="153"/>
      <c r="J484" s="228"/>
      <c r="K484" s="365"/>
      <c r="L484" s="230"/>
      <c r="M484" s="231"/>
      <c r="N484" s="230"/>
      <c r="O484" s="153"/>
    </row>
    <row r="485" spans="5:15" ht="14.1" customHeight="1" x14ac:dyDescent="0.15">
      <c r="E485" s="274"/>
      <c r="F485" s="274"/>
      <c r="G485" s="274"/>
      <c r="H485" s="228"/>
      <c r="I485" s="153"/>
      <c r="J485" s="228"/>
      <c r="K485" s="365"/>
      <c r="L485" s="230"/>
      <c r="M485" s="231"/>
      <c r="N485" s="230"/>
      <c r="O485" s="153"/>
    </row>
    <row r="486" spans="5:15" ht="14.1" customHeight="1" x14ac:dyDescent="0.15">
      <c r="E486" s="274"/>
      <c r="F486" s="274"/>
      <c r="G486" s="274"/>
      <c r="H486" s="228"/>
      <c r="I486" s="153"/>
      <c r="J486" s="228"/>
      <c r="K486" s="365"/>
      <c r="L486" s="230"/>
      <c r="M486" s="231"/>
      <c r="N486" s="230"/>
      <c r="O486" s="153"/>
    </row>
    <row r="487" spans="5:15" ht="14.1" customHeight="1" x14ac:dyDescent="0.15">
      <c r="E487" s="274"/>
      <c r="F487" s="274"/>
      <c r="G487" s="274"/>
      <c r="H487" s="228"/>
      <c r="I487" s="153"/>
      <c r="J487" s="228"/>
      <c r="K487" s="365"/>
      <c r="L487" s="230"/>
      <c r="M487" s="231"/>
      <c r="N487" s="230"/>
      <c r="O487" s="153"/>
    </row>
    <row r="488" spans="5:15" ht="14.1" customHeight="1" x14ac:dyDescent="0.15">
      <c r="E488" s="274"/>
      <c r="F488" s="274"/>
      <c r="G488" s="274"/>
      <c r="H488" s="228"/>
      <c r="I488" s="153"/>
      <c r="J488" s="228"/>
      <c r="K488" s="365"/>
      <c r="L488" s="230"/>
      <c r="M488" s="231"/>
      <c r="N488" s="230"/>
      <c r="O488" s="153"/>
    </row>
    <row r="489" spans="5:15" ht="14.1" customHeight="1" x14ac:dyDescent="0.15">
      <c r="E489" s="274"/>
      <c r="F489" s="274"/>
      <c r="G489" s="274"/>
      <c r="H489" s="228"/>
      <c r="I489" s="153"/>
      <c r="J489" s="228"/>
      <c r="K489" s="365"/>
      <c r="L489" s="230"/>
      <c r="M489" s="231"/>
      <c r="N489" s="230"/>
      <c r="O489" s="153"/>
    </row>
    <row r="490" spans="5:15" ht="14.1" customHeight="1" x14ac:dyDescent="0.15">
      <c r="E490" s="274"/>
      <c r="F490" s="274"/>
      <c r="G490" s="274"/>
      <c r="H490" s="228"/>
      <c r="I490" s="153"/>
      <c r="J490" s="228"/>
      <c r="K490" s="365"/>
      <c r="L490" s="230"/>
      <c r="M490" s="231"/>
      <c r="N490" s="230"/>
      <c r="O490" s="153"/>
    </row>
    <row r="491" spans="5:15" ht="14.1" customHeight="1" x14ac:dyDescent="0.15">
      <c r="E491" s="274"/>
      <c r="F491" s="274"/>
      <c r="G491" s="274"/>
      <c r="H491" s="228"/>
      <c r="I491" s="153"/>
      <c r="J491" s="228"/>
      <c r="K491" s="365"/>
      <c r="L491" s="230"/>
      <c r="M491" s="231"/>
      <c r="N491" s="230"/>
      <c r="O491" s="153"/>
    </row>
    <row r="492" spans="5:15" ht="15.95" customHeight="1" x14ac:dyDescent="0.15">
      <c r="E492" s="274"/>
      <c r="F492" s="274"/>
      <c r="G492" s="274"/>
      <c r="H492" s="228"/>
      <c r="I492" s="153"/>
      <c r="J492" s="228"/>
      <c r="K492" s="365"/>
      <c r="L492" s="230"/>
      <c r="M492" s="231"/>
      <c r="N492" s="230"/>
      <c r="O492" s="153"/>
    </row>
    <row r="493" spans="5:15" ht="15.95" customHeight="1" x14ac:dyDescent="0.15">
      <c r="E493" s="274"/>
      <c r="F493" s="274"/>
      <c r="G493" s="274"/>
      <c r="H493" s="228"/>
      <c r="I493" s="153"/>
      <c r="J493" s="228"/>
      <c r="K493" s="365"/>
      <c r="L493" s="230"/>
      <c r="M493" s="231"/>
      <c r="N493" s="230"/>
      <c r="O493" s="153"/>
    </row>
    <row r="494" spans="5:15" ht="15.95" customHeight="1" x14ac:dyDescent="0.15">
      <c r="E494" s="274"/>
      <c r="F494" s="274"/>
      <c r="G494" s="274"/>
      <c r="H494" s="228"/>
      <c r="I494" s="153"/>
      <c r="J494" s="228"/>
      <c r="K494" s="365"/>
      <c r="L494" s="230"/>
      <c r="M494" s="231"/>
      <c r="N494" s="230"/>
      <c r="O494" s="153"/>
    </row>
    <row r="495" spans="5:15" ht="15.95" customHeight="1" x14ac:dyDescent="0.15">
      <c r="E495" s="274"/>
      <c r="F495" s="274"/>
      <c r="G495" s="274"/>
      <c r="H495" s="228"/>
      <c r="I495" s="153"/>
      <c r="J495" s="228"/>
      <c r="K495" s="365"/>
      <c r="L495" s="230"/>
      <c r="M495" s="231"/>
      <c r="N495" s="230"/>
      <c r="O495" s="153"/>
    </row>
    <row r="496" spans="5:15" ht="15.95" customHeight="1" x14ac:dyDescent="0.15">
      <c r="E496" s="274"/>
      <c r="F496" s="274"/>
      <c r="G496" s="274"/>
      <c r="H496" s="228"/>
      <c r="I496" s="153"/>
      <c r="J496" s="228"/>
      <c r="K496" s="365"/>
      <c r="L496" s="230"/>
      <c r="M496" s="231"/>
      <c r="N496" s="230"/>
      <c r="O496" s="153"/>
    </row>
    <row r="497" spans="5:15" x14ac:dyDescent="0.15">
      <c r="E497" s="274"/>
      <c r="F497" s="274"/>
      <c r="G497" s="274"/>
      <c r="H497" s="228"/>
      <c r="I497" s="153"/>
      <c r="J497" s="228"/>
      <c r="K497" s="365"/>
      <c r="L497" s="230"/>
      <c r="M497" s="231"/>
      <c r="N497" s="230"/>
      <c r="O497" s="153"/>
    </row>
    <row r="498" spans="5:15" x14ac:dyDescent="0.15">
      <c r="E498" s="274"/>
      <c r="F498" s="274"/>
      <c r="G498" s="274"/>
      <c r="H498" s="228"/>
      <c r="I498" s="153"/>
      <c r="J498" s="228"/>
      <c r="K498" s="365"/>
      <c r="L498" s="230"/>
      <c r="M498" s="231"/>
      <c r="N498" s="230"/>
      <c r="O498" s="153"/>
    </row>
  </sheetData>
  <autoFilter ref="H5:O463" xr:uid="{00000000-0009-0000-0000-000004000000}"/>
  <mergeCells count="78">
    <mergeCell ref="L399:M399"/>
    <mergeCell ref="L400:M400"/>
    <mergeCell ref="L394:M394"/>
    <mergeCell ref="L396:M396"/>
    <mergeCell ref="L397:M397"/>
    <mergeCell ref="L398:M398"/>
    <mergeCell ref="C227:D227"/>
    <mergeCell ref="H193:I193"/>
    <mergeCell ref="H159:I159"/>
    <mergeCell ref="A1:O1"/>
    <mergeCell ref="A2:O2"/>
    <mergeCell ref="H3:M3"/>
    <mergeCell ref="N3:O3"/>
    <mergeCell ref="A4:D4"/>
    <mergeCell ref="E4:E5"/>
    <mergeCell ref="F4:F5"/>
    <mergeCell ref="G4:G5"/>
    <mergeCell ref="A6:D6"/>
    <mergeCell ref="A7:D7"/>
    <mergeCell ref="B8:D8"/>
    <mergeCell ref="C9:D9"/>
    <mergeCell ref="C54:D54"/>
    <mergeCell ref="B228:D228"/>
    <mergeCell ref="C229:D229"/>
    <mergeCell ref="C232:D232"/>
    <mergeCell ref="C250:D250"/>
    <mergeCell ref="C244:D244"/>
    <mergeCell ref="L201:M201"/>
    <mergeCell ref="L202:M202"/>
    <mergeCell ref="C203:D203"/>
    <mergeCell ref="B220:D220"/>
    <mergeCell ref="C221:D221"/>
    <mergeCell ref="B461:D461"/>
    <mergeCell ref="C462:D462"/>
    <mergeCell ref="H452:N452"/>
    <mergeCell ref="A455:D455"/>
    <mergeCell ref="B456:D456"/>
    <mergeCell ref="C457:D457"/>
    <mergeCell ref="A460:D460"/>
    <mergeCell ref="C452:D452"/>
    <mergeCell ref="C459:D459"/>
    <mergeCell ref="C458:D458"/>
    <mergeCell ref="L200:M200"/>
    <mergeCell ref="H160:I160"/>
    <mergeCell ref="H164:I164"/>
    <mergeCell ref="H168:I168"/>
    <mergeCell ref="C193:D193"/>
    <mergeCell ref="H170:I170"/>
    <mergeCell ref="C196:D196"/>
    <mergeCell ref="L196:M196"/>
    <mergeCell ref="C197:D197"/>
    <mergeCell ref="L198:M198"/>
    <mergeCell ref="L199:M199"/>
    <mergeCell ref="C223:D223"/>
    <mergeCell ref="C224:D224"/>
    <mergeCell ref="C225:D225"/>
    <mergeCell ref="C226:D226"/>
    <mergeCell ref="B446:D446"/>
    <mergeCell ref="A296:D296"/>
    <mergeCell ref="B297:D297"/>
    <mergeCell ref="C298:D298"/>
    <mergeCell ref="C302:D302"/>
    <mergeCell ref="C306:D306"/>
    <mergeCell ref="C274:D274"/>
    <mergeCell ref="A272:D272"/>
    <mergeCell ref="B273:D273"/>
    <mergeCell ref="C279:D279"/>
    <mergeCell ref="C285:D285"/>
    <mergeCell ref="C267:D267"/>
    <mergeCell ref="C447:D447"/>
    <mergeCell ref="A450:D450"/>
    <mergeCell ref="B451:D451"/>
    <mergeCell ref="C349:D349"/>
    <mergeCell ref="C388:D388"/>
    <mergeCell ref="C382:D382"/>
    <mergeCell ref="C371:D371"/>
    <mergeCell ref="A445:D445"/>
    <mergeCell ref="C441:D441"/>
  </mergeCells>
  <phoneticPr fontId="2" type="noConversion"/>
  <pageMargins left="0.43307086614173229" right="0.43307086614173229" top="0.82677165354330717" bottom="0.70866141732283472" header="0.82677165354330717" footer="0.47244094488188981"/>
  <pageSetup paperSize="9" scale="99" firstPageNumber="7" fitToHeight="0" orientation="portrait" r:id="rId1"/>
  <headerFooter>
    <oddFooter>&amp;L사회복지법인 밀알복지재단&amp;C&amp;P/&amp;N&amp;R&amp;"+,굵게"&amp;12&amp;K0070C0Goodwill Store</oddFooter>
  </headerFooter>
  <ignoredErrors>
    <ignoredError sqref="O215 O409 O193 O419 O431 O439 O19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8"/>
  <sheetViews>
    <sheetView zoomScale="145" zoomScaleNormal="145" workbookViewId="0">
      <selection activeCell="M13" sqref="M12:N13"/>
    </sheetView>
  </sheetViews>
  <sheetFormatPr defaultRowHeight="13.5" x14ac:dyDescent="0.15"/>
  <cols>
    <col min="1" max="1" width="20.88671875" customWidth="1"/>
    <col min="2" max="2" width="10.21875" customWidth="1"/>
    <col min="3" max="3" width="5.109375" customWidth="1"/>
    <col min="4" max="4" width="4.77734375" customWidth="1"/>
    <col min="5" max="5" width="5.6640625" customWidth="1"/>
    <col min="6" max="6" width="4" customWidth="1"/>
    <col min="7" max="7" width="4.88671875" customWidth="1"/>
    <col min="8" max="8" width="10.21875" bestFit="1" customWidth="1"/>
  </cols>
  <sheetData>
    <row r="1" spans="1:11" ht="22.5" customHeight="1" x14ac:dyDescent="0.15">
      <c r="A1" s="790" t="s">
        <v>450</v>
      </c>
      <c r="B1" s="790"/>
      <c r="C1" s="790"/>
      <c r="D1" s="790"/>
      <c r="E1" s="790"/>
      <c r="F1" s="790"/>
      <c r="G1" s="790"/>
      <c r="H1" s="790"/>
    </row>
    <row r="2" spans="1:11" ht="7.5" customHeight="1" x14ac:dyDescent="0.15"/>
    <row r="3" spans="1:11" ht="14.25" customHeight="1" x14ac:dyDescent="0.15">
      <c r="H3" s="237" t="s">
        <v>449</v>
      </c>
    </row>
    <row r="4" spans="1:11" ht="13.5" customHeight="1" thickBot="1" x14ac:dyDescent="0.2">
      <c r="A4" s="238" t="s">
        <v>152</v>
      </c>
      <c r="B4" s="239"/>
      <c r="C4" s="240"/>
      <c r="D4" s="241"/>
      <c r="E4" s="242"/>
      <c r="F4" s="243"/>
      <c r="G4" s="242"/>
      <c r="H4" s="244">
        <f>SUM(H5:I28)</f>
        <v>33109040</v>
      </c>
    </row>
    <row r="5" spans="1:11" x14ac:dyDescent="0.15">
      <c r="A5" s="251" t="s">
        <v>435</v>
      </c>
      <c r="B5" s="252">
        <v>3728650</v>
      </c>
      <c r="C5" s="253" t="s">
        <v>100</v>
      </c>
      <c r="D5" s="254">
        <v>10</v>
      </c>
      <c r="E5" s="255" t="s">
        <v>109</v>
      </c>
      <c r="F5" s="256">
        <v>9</v>
      </c>
      <c r="G5" s="255" t="s">
        <v>103</v>
      </c>
      <c r="H5" s="257">
        <f>ROUNDDOWN(B5*0.00478*1.5*10*F5, -1)</f>
        <v>2406090</v>
      </c>
    </row>
    <row r="6" spans="1:11" x14ac:dyDescent="0.15">
      <c r="A6" s="258" t="s">
        <v>426</v>
      </c>
      <c r="B6" s="245">
        <v>3780460</v>
      </c>
      <c r="C6" s="246" t="s">
        <v>100</v>
      </c>
      <c r="D6" s="250">
        <v>10</v>
      </c>
      <c r="E6" s="248" t="s">
        <v>109</v>
      </c>
      <c r="F6" s="249">
        <v>3</v>
      </c>
      <c r="G6" s="248" t="s">
        <v>103</v>
      </c>
      <c r="H6" s="259">
        <f t="shared" ref="H6:H28" si="0">ROUNDDOWN(B6*0.00478*1.5*10*F6, -1)</f>
        <v>813170</v>
      </c>
    </row>
    <row r="7" spans="1:11" x14ac:dyDescent="0.15">
      <c r="A7" s="258" t="s">
        <v>436</v>
      </c>
      <c r="B7" s="245">
        <v>3157750</v>
      </c>
      <c r="C7" s="246" t="s">
        <v>100</v>
      </c>
      <c r="D7" s="250">
        <v>10</v>
      </c>
      <c r="E7" s="248" t="s">
        <v>109</v>
      </c>
      <c r="F7" s="249">
        <v>3</v>
      </c>
      <c r="G7" s="248" t="s">
        <v>103</v>
      </c>
      <c r="H7" s="259">
        <f t="shared" si="0"/>
        <v>679230</v>
      </c>
      <c r="J7" t="s">
        <v>514</v>
      </c>
    </row>
    <row r="8" spans="1:11" x14ac:dyDescent="0.15">
      <c r="A8" s="258" t="s">
        <v>428</v>
      </c>
      <c r="B8" s="245">
        <v>3206320</v>
      </c>
      <c r="C8" s="246" t="s">
        <v>100</v>
      </c>
      <c r="D8" s="250">
        <v>10</v>
      </c>
      <c r="E8" s="248" t="s">
        <v>109</v>
      </c>
      <c r="F8" s="249">
        <v>9</v>
      </c>
      <c r="G8" s="248" t="s">
        <v>103</v>
      </c>
      <c r="H8" s="259">
        <f t="shared" si="0"/>
        <v>2069030</v>
      </c>
      <c r="J8" t="s">
        <v>515</v>
      </c>
      <c r="K8" t="s">
        <v>529</v>
      </c>
    </row>
    <row r="9" spans="1:11" x14ac:dyDescent="0.15">
      <c r="A9" s="258" t="s">
        <v>437</v>
      </c>
      <c r="B9" s="245">
        <v>3728650</v>
      </c>
      <c r="C9" s="246" t="s">
        <v>100</v>
      </c>
      <c r="D9" s="250">
        <v>10</v>
      </c>
      <c r="E9" s="248" t="s">
        <v>109</v>
      </c>
      <c r="F9" s="249">
        <v>6</v>
      </c>
      <c r="G9" s="248" t="s">
        <v>103</v>
      </c>
      <c r="H9" s="259">
        <f t="shared" si="0"/>
        <v>1604060</v>
      </c>
      <c r="J9" t="s">
        <v>516</v>
      </c>
      <c r="K9" t="s">
        <v>529</v>
      </c>
    </row>
    <row r="10" spans="1:11" x14ac:dyDescent="0.15">
      <c r="A10" s="258" t="s">
        <v>429</v>
      </c>
      <c r="B10" s="245">
        <v>3780460</v>
      </c>
      <c r="C10" s="246" t="s">
        <v>100</v>
      </c>
      <c r="D10" s="250">
        <v>10</v>
      </c>
      <c r="E10" s="248" t="s">
        <v>109</v>
      </c>
      <c r="F10" s="249">
        <v>6</v>
      </c>
      <c r="G10" s="248" t="s">
        <v>103</v>
      </c>
      <c r="H10" s="259">
        <f t="shared" si="0"/>
        <v>1626350</v>
      </c>
      <c r="J10" t="s">
        <v>517</v>
      </c>
      <c r="K10" t="s">
        <v>529</v>
      </c>
    </row>
    <row r="11" spans="1:11" x14ac:dyDescent="0.15">
      <c r="A11" s="258" t="s">
        <v>438</v>
      </c>
      <c r="B11" s="245">
        <v>3359570</v>
      </c>
      <c r="C11" s="246" t="s">
        <v>100</v>
      </c>
      <c r="D11" s="250">
        <v>10</v>
      </c>
      <c r="E11" s="248" t="s">
        <v>109</v>
      </c>
      <c r="F11" s="249">
        <v>7</v>
      </c>
      <c r="G11" s="248" t="s">
        <v>103</v>
      </c>
      <c r="H11" s="259">
        <f t="shared" si="0"/>
        <v>1686160</v>
      </c>
      <c r="J11" t="s">
        <v>518</v>
      </c>
    </row>
    <row r="12" spans="1:11" x14ac:dyDescent="0.15">
      <c r="A12" s="258" t="s">
        <v>431</v>
      </c>
      <c r="B12" s="245">
        <v>3410290</v>
      </c>
      <c r="C12" s="246" t="s">
        <v>100</v>
      </c>
      <c r="D12" s="250">
        <v>10</v>
      </c>
      <c r="E12" s="248" t="s">
        <v>109</v>
      </c>
      <c r="F12" s="249">
        <v>5</v>
      </c>
      <c r="G12" s="248" t="s">
        <v>103</v>
      </c>
      <c r="H12" s="259">
        <f t="shared" si="0"/>
        <v>1222580</v>
      </c>
      <c r="J12" t="s">
        <v>519</v>
      </c>
      <c r="K12" t="s">
        <v>529</v>
      </c>
    </row>
    <row r="13" spans="1:11" x14ac:dyDescent="0.15">
      <c r="A13" s="258" t="s">
        <v>439</v>
      </c>
      <c r="B13" s="245">
        <v>2598720</v>
      </c>
      <c r="C13" s="246" t="s">
        <v>100</v>
      </c>
      <c r="D13" s="250">
        <v>10</v>
      </c>
      <c r="E13" s="248" t="s">
        <v>109</v>
      </c>
      <c r="F13" s="249">
        <v>6</v>
      </c>
      <c r="G13" s="248" t="s">
        <v>103</v>
      </c>
      <c r="H13" s="259">
        <f t="shared" si="0"/>
        <v>1117960</v>
      </c>
      <c r="J13" t="s">
        <v>520</v>
      </c>
      <c r="K13" t="s">
        <v>529</v>
      </c>
    </row>
    <row r="14" spans="1:11" x14ac:dyDescent="0.15">
      <c r="A14" s="258" t="s">
        <v>433</v>
      </c>
      <c r="B14" s="245">
        <v>2673190</v>
      </c>
      <c r="C14" s="246" t="s">
        <v>100</v>
      </c>
      <c r="D14" s="250">
        <v>10</v>
      </c>
      <c r="E14" s="248" t="s">
        <v>109</v>
      </c>
      <c r="F14" s="249">
        <v>6</v>
      </c>
      <c r="G14" s="248" t="s">
        <v>103</v>
      </c>
      <c r="H14" s="259">
        <f t="shared" si="0"/>
        <v>1150000</v>
      </c>
      <c r="J14" t="s">
        <v>521</v>
      </c>
    </row>
    <row r="15" spans="1:11" x14ac:dyDescent="0.15">
      <c r="A15" s="258" t="s">
        <v>440</v>
      </c>
      <c r="B15" s="245">
        <v>2433600</v>
      </c>
      <c r="C15" s="246" t="s">
        <v>100</v>
      </c>
      <c r="D15" s="250">
        <v>10</v>
      </c>
      <c r="E15" s="248" t="s">
        <v>109</v>
      </c>
      <c r="F15" s="249">
        <v>11</v>
      </c>
      <c r="G15" s="248" t="s">
        <v>103</v>
      </c>
      <c r="H15" s="259">
        <f t="shared" si="0"/>
        <v>1919380</v>
      </c>
      <c r="J15" t="s">
        <v>522</v>
      </c>
      <c r="K15" t="s">
        <v>529</v>
      </c>
    </row>
    <row r="16" spans="1:11" x14ac:dyDescent="0.15">
      <c r="A16" s="258" t="s">
        <v>420</v>
      </c>
      <c r="B16" s="245">
        <v>2509150</v>
      </c>
      <c r="C16" s="246" t="s">
        <v>100</v>
      </c>
      <c r="D16" s="250">
        <v>10</v>
      </c>
      <c r="E16" s="248" t="s">
        <v>109</v>
      </c>
      <c r="F16" s="249">
        <v>1</v>
      </c>
      <c r="G16" s="248" t="s">
        <v>103</v>
      </c>
      <c r="H16" s="259">
        <f t="shared" si="0"/>
        <v>179900</v>
      </c>
      <c r="J16" t="s">
        <v>523</v>
      </c>
      <c r="K16" t="s">
        <v>529</v>
      </c>
    </row>
    <row r="17" spans="1:11" x14ac:dyDescent="0.15">
      <c r="A17" s="258" t="s">
        <v>441</v>
      </c>
      <c r="B17" s="245">
        <v>3059550</v>
      </c>
      <c r="C17" s="246" t="s">
        <v>100</v>
      </c>
      <c r="D17" s="247" t="s">
        <v>108</v>
      </c>
      <c r="E17" s="248" t="s">
        <v>109</v>
      </c>
      <c r="F17" s="249">
        <v>12</v>
      </c>
      <c r="G17" s="248" t="s">
        <v>103</v>
      </c>
      <c r="H17" s="259">
        <f t="shared" si="0"/>
        <v>2632430</v>
      </c>
      <c r="J17" t="s">
        <v>524</v>
      </c>
      <c r="K17" t="s">
        <v>530</v>
      </c>
    </row>
    <row r="18" spans="1:11" x14ac:dyDescent="0.15">
      <c r="A18" s="258" t="s">
        <v>442</v>
      </c>
      <c r="B18" s="245">
        <v>2786510</v>
      </c>
      <c r="C18" s="246" t="s">
        <v>100</v>
      </c>
      <c r="D18" s="247" t="s">
        <v>108</v>
      </c>
      <c r="E18" s="248" t="s">
        <v>109</v>
      </c>
      <c r="F18" s="249">
        <v>12</v>
      </c>
      <c r="G18" s="248" t="s">
        <v>103</v>
      </c>
      <c r="H18" s="259">
        <f t="shared" si="0"/>
        <v>2397510</v>
      </c>
      <c r="J18" t="s">
        <v>525</v>
      </c>
      <c r="K18" t="s">
        <v>529</v>
      </c>
    </row>
    <row r="19" spans="1:11" x14ac:dyDescent="0.15">
      <c r="A19" s="258" t="s">
        <v>443</v>
      </c>
      <c r="B19" s="245">
        <v>2673190</v>
      </c>
      <c r="C19" s="246" t="s">
        <v>100</v>
      </c>
      <c r="D19" s="247" t="s">
        <v>108</v>
      </c>
      <c r="E19" s="248" t="s">
        <v>109</v>
      </c>
      <c r="F19" s="249">
        <v>7</v>
      </c>
      <c r="G19" s="248" t="s">
        <v>103</v>
      </c>
      <c r="H19" s="259">
        <f t="shared" si="0"/>
        <v>1341670</v>
      </c>
      <c r="J19" t="s">
        <v>526</v>
      </c>
      <c r="K19" t="s">
        <v>528</v>
      </c>
    </row>
    <row r="20" spans="1:11" x14ac:dyDescent="0.15">
      <c r="A20" s="258" t="s">
        <v>421</v>
      </c>
      <c r="B20" s="245">
        <v>2772480</v>
      </c>
      <c r="C20" s="260" t="s">
        <v>100</v>
      </c>
      <c r="D20" s="261" t="s">
        <v>108</v>
      </c>
      <c r="E20" s="262" t="s">
        <v>109</v>
      </c>
      <c r="F20" s="263">
        <v>5</v>
      </c>
      <c r="G20" s="262" t="s">
        <v>103</v>
      </c>
      <c r="H20" s="264">
        <f t="shared" si="0"/>
        <v>993930</v>
      </c>
      <c r="J20" t="s">
        <v>527</v>
      </c>
      <c r="K20" t="s">
        <v>528</v>
      </c>
    </row>
    <row r="21" spans="1:11" x14ac:dyDescent="0.15">
      <c r="A21" s="258" t="s">
        <v>444</v>
      </c>
      <c r="B21" s="245">
        <v>2772480</v>
      </c>
      <c r="C21" s="260" t="s">
        <v>100</v>
      </c>
      <c r="D21" s="261" t="s">
        <v>108</v>
      </c>
      <c r="E21" s="262" t="s">
        <v>109</v>
      </c>
      <c r="F21" s="263">
        <v>11</v>
      </c>
      <c r="G21" s="262" t="s">
        <v>103</v>
      </c>
      <c r="H21" s="264">
        <f t="shared" si="0"/>
        <v>2186650</v>
      </c>
    </row>
    <row r="22" spans="1:11" x14ac:dyDescent="0.15">
      <c r="A22" s="258" t="s">
        <v>422</v>
      </c>
      <c r="B22" s="245">
        <v>2815640</v>
      </c>
      <c r="C22" s="246" t="s">
        <v>100</v>
      </c>
      <c r="D22" s="247" t="s">
        <v>108</v>
      </c>
      <c r="E22" s="248" t="s">
        <v>109</v>
      </c>
      <c r="F22" s="249">
        <v>1</v>
      </c>
      <c r="G22" s="248" t="s">
        <v>103</v>
      </c>
      <c r="H22" s="259">
        <f t="shared" si="0"/>
        <v>201880</v>
      </c>
    </row>
    <row r="23" spans="1:11" x14ac:dyDescent="0.15">
      <c r="A23" s="258" t="s">
        <v>445</v>
      </c>
      <c r="B23" s="245">
        <v>2777880</v>
      </c>
      <c r="C23" s="246" t="s">
        <v>100</v>
      </c>
      <c r="D23" s="247" t="s">
        <v>108</v>
      </c>
      <c r="E23" s="248" t="s">
        <v>109</v>
      </c>
      <c r="F23" s="249">
        <v>11</v>
      </c>
      <c r="G23" s="248" t="s">
        <v>103</v>
      </c>
      <c r="H23" s="259">
        <f t="shared" si="0"/>
        <v>2190910</v>
      </c>
    </row>
    <row r="24" spans="1:11" x14ac:dyDescent="0.15">
      <c r="A24" s="258" t="s">
        <v>423</v>
      </c>
      <c r="B24" s="245">
        <v>2828600</v>
      </c>
      <c r="C24" s="246" t="s">
        <v>100</v>
      </c>
      <c r="D24" s="247" t="s">
        <v>108</v>
      </c>
      <c r="E24" s="248" t="s">
        <v>109</v>
      </c>
      <c r="F24" s="249">
        <v>1</v>
      </c>
      <c r="G24" s="248" t="s">
        <v>103</v>
      </c>
      <c r="H24" s="259">
        <f t="shared" si="0"/>
        <v>202810</v>
      </c>
    </row>
    <row r="25" spans="1:11" x14ac:dyDescent="0.15">
      <c r="A25" s="258" t="s">
        <v>446</v>
      </c>
      <c r="B25" s="245">
        <v>2726070</v>
      </c>
      <c r="C25" s="246" t="s">
        <v>100</v>
      </c>
      <c r="D25" s="247" t="s">
        <v>108</v>
      </c>
      <c r="E25" s="248" t="s">
        <v>109</v>
      </c>
      <c r="F25" s="249">
        <v>2</v>
      </c>
      <c r="G25" s="248" t="s">
        <v>103</v>
      </c>
      <c r="H25" s="259">
        <f t="shared" si="0"/>
        <v>390910</v>
      </c>
    </row>
    <row r="26" spans="1:11" x14ac:dyDescent="0.15">
      <c r="A26" s="258" t="s">
        <v>424</v>
      </c>
      <c r="B26" s="245">
        <v>2777880</v>
      </c>
      <c r="C26" s="246" t="s">
        <v>100</v>
      </c>
      <c r="D26" s="247" t="s">
        <v>108</v>
      </c>
      <c r="E26" s="248" t="s">
        <v>109</v>
      </c>
      <c r="F26" s="249">
        <v>10</v>
      </c>
      <c r="G26" s="248" t="s">
        <v>103</v>
      </c>
      <c r="H26" s="259">
        <f t="shared" si="0"/>
        <v>1991730</v>
      </c>
    </row>
    <row r="27" spans="1:11" x14ac:dyDescent="0.15">
      <c r="A27" s="258" t="s">
        <v>448</v>
      </c>
      <c r="B27" s="245">
        <v>2433600</v>
      </c>
      <c r="C27" s="246" t="s">
        <v>100</v>
      </c>
      <c r="D27" s="247" t="s">
        <v>108</v>
      </c>
      <c r="E27" s="248" t="s">
        <v>109</v>
      </c>
      <c r="F27" s="249">
        <v>10</v>
      </c>
      <c r="G27" s="248" t="s">
        <v>103</v>
      </c>
      <c r="H27" s="259">
        <f t="shared" si="0"/>
        <v>1744890</v>
      </c>
    </row>
    <row r="28" spans="1:11" ht="14.25" thickBot="1" x14ac:dyDescent="0.2">
      <c r="A28" s="265" t="s">
        <v>447</v>
      </c>
      <c r="B28" s="266">
        <v>2509150</v>
      </c>
      <c r="C28" s="267" t="s">
        <v>100</v>
      </c>
      <c r="D28" s="268" t="s">
        <v>108</v>
      </c>
      <c r="E28" s="269" t="s">
        <v>109</v>
      </c>
      <c r="F28" s="270">
        <v>2</v>
      </c>
      <c r="G28" s="269" t="s">
        <v>103</v>
      </c>
      <c r="H28" s="271">
        <f t="shared" si="0"/>
        <v>359810</v>
      </c>
    </row>
  </sheetData>
  <mergeCells count="1">
    <mergeCell ref="A1:H1"/>
  </mergeCells>
  <phoneticPr fontId="2" type="noConversion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6</vt:i4>
      </vt:variant>
    </vt:vector>
  </HeadingPairs>
  <TitlesOfParts>
    <vt:vector size="12" baseType="lpstr">
      <vt:lpstr>표지</vt:lpstr>
      <vt:lpstr>예산총칙</vt:lpstr>
      <vt:lpstr>총괄표</vt:lpstr>
      <vt:lpstr>세입내역</vt:lpstr>
      <vt:lpstr>세출내역</vt:lpstr>
      <vt:lpstr>Sheet1</vt:lpstr>
      <vt:lpstr>세입내역!Print_Area</vt:lpstr>
      <vt:lpstr>세출내역!Print_Area</vt:lpstr>
      <vt:lpstr>총괄표!Print_Area</vt:lpstr>
      <vt:lpstr>세입내역!Print_Titles</vt:lpstr>
      <vt:lpstr>세출내역!Print_Titles</vt:lpstr>
      <vt:lpstr>총괄표!Print_Titles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</dc:creator>
  <cp:lastModifiedBy>Windows 사용자</cp:lastModifiedBy>
  <cp:lastPrinted>2021-09-14T02:37:26Z</cp:lastPrinted>
  <dcterms:created xsi:type="dcterms:W3CDTF">2008-09-08T01:21:07Z</dcterms:created>
  <dcterms:modified xsi:type="dcterms:W3CDTF">2021-09-14T02:37:28Z</dcterms:modified>
</cp:coreProperties>
</file>